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598" activeTab="0"/>
  </bookViews>
  <sheets>
    <sheet name="Текущий ремонт" sheetId="1" r:id="rId1"/>
  </sheets>
  <definedNames>
    <definedName name="_xlnm.Print_Area" localSheetId="0">'Текущий ремонт'!$A$1:$J$335</definedName>
  </definedNames>
  <calcPr fullCalcOnLoad="1"/>
</workbook>
</file>

<file path=xl/sharedStrings.xml><?xml version="1.0" encoding="utf-8"?>
<sst xmlns="http://schemas.openxmlformats.org/spreadsheetml/2006/main" count="380" uniqueCount="193">
  <si>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</si>
  <si>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</si>
  <si>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</si>
  <si>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</si>
  <si>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</si>
  <si>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</si>
  <si>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</si>
  <si>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</si>
  <si>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</si>
  <si>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</si>
  <si>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</si>
  <si>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</si>
  <si>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</si>
  <si>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</si>
  <si>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</si>
  <si>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</si>
  <si>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</si>
  <si>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</si>
  <si>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</si>
  <si>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</si>
  <si>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</si>
  <si>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</si>
  <si>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</si>
  <si>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</si>
  <si>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</si>
  <si>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13 по ул. Камышинская</t>
  </si>
  <si>
    <t xml:space="preserve">РАСХОДЫ ПО ООО "ЛИДЕР УК" </t>
  </si>
  <si>
    <t>вывоз крупногабаритного мусора</t>
  </si>
  <si>
    <t>прочистка дороги от снега вдоль дома и подъезд к контейнерам (погрузчиком 30 мин.)</t>
  </si>
  <si>
    <t>промывка и опрессовка системы отопления</t>
  </si>
  <si>
    <t>прочистка дороги от снега вдоль дома и подъезд к контейнерам (погрузчиком 1 час. 10 мин.)</t>
  </si>
  <si>
    <t>содержание УК</t>
  </si>
  <si>
    <t>вывоз твердых бытовых отходов</t>
  </si>
  <si>
    <t>прочистка дороги от снега вдоль дома и подъезд к контейнерам (погрузчиком 20 мин.)</t>
  </si>
  <si>
    <t xml:space="preserve">I п. тамбур - замена  эл. лампочки 40 Вт -1 шт. </t>
  </si>
  <si>
    <t>прочистка дороги от снега вдоль дома и подъезд к контейнерам (погрузчиком 10 мин.)</t>
  </si>
  <si>
    <t>покос травы на детской площадке, газонах</t>
  </si>
  <si>
    <t>факт недоплата, переплата       (-/+)</t>
  </si>
  <si>
    <t>переходящий остаток на 2019 год</t>
  </si>
  <si>
    <t xml:space="preserve"> 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</si>
  <si>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</si>
  <si>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II п. (подвальный люк) - установлена клямка - 1 шт. </t>
  </si>
  <si>
    <t xml:space="preserve">II п. 3 эт. - замена  эл. лампочки 40 Вт -1 шт. </t>
  </si>
  <si>
    <t xml:space="preserve">кв. № 15 - вызов аварийной службы </t>
  </si>
  <si>
    <t xml:space="preserve">I п. 2 эт. - железнение площадки на лестничной клетке </t>
  </si>
  <si>
    <t>прочистка снега к контейнерам (погрузчиком 12 мин.)</t>
  </si>
  <si>
    <t xml:space="preserve">II п. тамбур - замена  эл. лампочки 40 Вт -1 шт. </t>
  </si>
  <si>
    <t>прочистка снега к контейнерам (погрузчиком 2 час. 20 мин.)</t>
  </si>
  <si>
    <t xml:space="preserve">очистка кровли от снега и наледи  </t>
  </si>
  <si>
    <t xml:space="preserve">кв. № 25 - вызов аварийной службы </t>
  </si>
  <si>
    <t>кв. № 17 - вызов в выходной день (течь)</t>
  </si>
  <si>
    <t>услуги ООО "РИЦ"</t>
  </si>
  <si>
    <t>удаление надписей на фасаде дома, в кол-ве - 7 шт.</t>
  </si>
  <si>
    <t>II п. 1 эт. - в межэтажном эл. щите ремонтные работы на 0 линии (наконечник болтовой аллюминиевый - 1 шт., провод - 1 м., сжим - 1 шт., болты, шайбы)</t>
  </si>
  <si>
    <t>подвал - демонтаж и монтаж ОДПУ ПО ХВС (соединение - 1 шт., в/счетчик - 1 шт.)</t>
  </si>
  <si>
    <t>грейдерование дороги (автогрейдер 30 мин.)</t>
  </si>
  <si>
    <t>подвал - монтаж байпаса (обводная) на общедомовом в/счетчике ХВС (соединение - 9 шт., уголок - 2 шт., боченок - 3 шт., шар. кран - 3 шт., труба - 3м., лен, герметик)</t>
  </si>
  <si>
    <t xml:space="preserve">кв. № 30 - вызов аварийной службы </t>
  </si>
  <si>
    <t xml:space="preserve">IIIп. 1 эт. - замена ТСК - 1 шт., эл. лампочки 40Вт - 1 шт. </t>
  </si>
  <si>
    <t>I п. - частичный ремонт кровли (шифер - 2,5 листа, гвозди)</t>
  </si>
  <si>
    <t>ремонт и окраска малых архитектурных форм на детской площадке</t>
  </si>
  <si>
    <t>изготовление декоративного заборчика (2м.) - 36 шт.</t>
  </si>
  <si>
    <t>кровля - ремонт конька</t>
  </si>
  <si>
    <t>кв. № 11 - прочистка куржака на крыше</t>
  </si>
  <si>
    <t>проверка сметы дворовой территории</t>
  </si>
  <si>
    <t>кв. № 25 - на стояке ХВС установлен переходник            d 25*20мм. - 1 шт.</t>
  </si>
  <si>
    <t>I п. - рем. работы в подвале на подъездн.  отоплении</t>
  </si>
  <si>
    <t>переходящий долг с 2017 года</t>
  </si>
  <si>
    <t>переходящий остаток на 2020 год</t>
  </si>
  <si>
    <t xml:space="preserve"> 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</si>
  <si>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</si>
  <si>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>переходящий остаток с 2018 года</t>
  </si>
  <si>
    <t>вывоз твердых коммунальных отходов</t>
  </si>
  <si>
    <t>подвал - замена замка - 1 шт., клямка - 1 шт.</t>
  </si>
  <si>
    <t xml:space="preserve">II п. 3 эт. - замена эл.лампочки 40 Вт - 1шт. </t>
  </si>
  <si>
    <t>прочистка дороги от снега вдоль дома и подъезд к контейнерам (погрузчиком 4 час. 45 мин.)</t>
  </si>
  <si>
    <t>чердак - ремонт слухового окна</t>
  </si>
  <si>
    <t xml:space="preserve">I, II п. тамбур - замена эл.лампочки 40 Вт - 2шт. </t>
  </si>
  <si>
    <t>ремонт малых архитектурных форм на детской площадке</t>
  </si>
  <si>
    <t>II, III п. - закрыты межэтажные эл. щиты (болт, гайка)</t>
  </si>
  <si>
    <t>изготовление и монтаж подъездных козырьков - 3 шт.</t>
  </si>
  <si>
    <t>повторная опломбировка ОДПУ ХВС</t>
  </si>
  <si>
    <t>окраска контейнеров - 5 шт. и площадки под ними - 2 шт.</t>
  </si>
  <si>
    <t>на ОДПУ ХВС установлена перемычка</t>
  </si>
  <si>
    <t>привозка песка (15т.) на детскую площадку</t>
  </si>
  <si>
    <t>вызов в выходной день</t>
  </si>
  <si>
    <t>монтаж теннисного стола на детской площадке</t>
  </si>
  <si>
    <t>Iп. - уличное освещение (замена плафона, фотореле, энергосберег. лампы 45 Вт.)</t>
  </si>
  <si>
    <t>монтаж декоративного заборчика на детской площадке (гайки, шайбы, болты)</t>
  </si>
  <si>
    <t>кв. № 11 - частичное оштукатуривание стены на кухне</t>
  </si>
  <si>
    <t>кв. № 11, 36 - частичный ремонт шиферной кровли (шифер - 5 листов, гвозди)</t>
  </si>
  <si>
    <t>закрыты отдушины в подвальное помещение (монтажная пена - 1/3 бал.)</t>
  </si>
  <si>
    <t>кв. № 1 - с подвала запенено монтажной пеной (4 бал.), утепление пола</t>
  </si>
  <si>
    <t>монтаж елки на детской площадке</t>
  </si>
  <si>
    <t>кв. № 11 - проведение исследования ГВС</t>
  </si>
  <si>
    <t>сбиты сосульки и наледь с кровли</t>
  </si>
  <si>
    <t xml:space="preserve">кв. № 18 - вызов аварийной службы </t>
  </si>
  <si>
    <t xml:space="preserve">подвал (узел управления) - замена дисковых затворов d 80 мм. - 2 шт. (выходящая подача и обратка)  </t>
  </si>
  <si>
    <t xml:space="preserve">ремонт двора 5 % </t>
  </si>
  <si>
    <t>дизайн проект</t>
  </si>
  <si>
    <t>II п. 3 эт. - ревизия межэтажного эл. щита (автомат 40 А 2 п. - 4 шт., 5 А - 1 шт., провод - 1 м., сжим - 1 шт.)</t>
  </si>
  <si>
    <t xml:space="preserve">                                        </t>
  </si>
  <si>
    <t xml:space="preserve">                                                                                           </t>
  </si>
  <si>
    <t xml:space="preserve">                                   </t>
  </si>
  <si>
    <t>переходящий остаток на 2021 год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</si>
  <si>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</si>
  <si>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</si>
  <si>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>переходящий остаток с 2019 года</t>
  </si>
  <si>
    <t xml:space="preserve">Составил: инженер-смотритель                                       О.А. Романюк                              </t>
  </si>
  <si>
    <t xml:space="preserve">сбиты сосульки и наледь с кровли  </t>
  </si>
  <si>
    <t>кв. № 35 - вызов аврийной службы</t>
  </si>
  <si>
    <t>прочистка дороги от снега вдоль дома и подъезд к контейнерам (погрузчиком 47 мин.)</t>
  </si>
  <si>
    <t>II, IIIп. - очистка снега с подъездных козырьков - 2 шт.</t>
  </si>
  <si>
    <t>прочистка дороги от снега вдоль дома и подъезд к контейнерам (погрузчиком 4 час. 20 мин.)</t>
  </si>
  <si>
    <t>детская площадка огорожена сигнальной лентой</t>
  </si>
  <si>
    <t>очистка от мусора межэтажных эл. щитов</t>
  </si>
  <si>
    <t>ревизия и очистка от мусора ОДПУ по эл. энергии</t>
  </si>
  <si>
    <t xml:space="preserve">кв. № 29 - замена стояка п/сушителя </t>
  </si>
  <si>
    <t xml:space="preserve">II п. 3 эт. - замена ТСК - 3 - 1шт. </t>
  </si>
  <si>
    <t xml:space="preserve">подвал - замена плети ХВС, выведена вода в подъезде № 2, аварийных стояков и отводов в смежных квартирах (II, III п.) </t>
  </si>
  <si>
    <t>кв. № 30 - замена крана ГВС</t>
  </si>
  <si>
    <t>окраска мусорного контейнера - 4 шт. и площадки под ними - 2 шт.</t>
  </si>
  <si>
    <t>IIIп. - зажелезнили пол в подъезде</t>
  </si>
  <si>
    <t>крыша - зареплен конек на кровле</t>
  </si>
  <si>
    <t>монтаж аншлага - 1 шт.  и номерного знака - 1 шт. на фасаде дома</t>
  </si>
  <si>
    <t>подвал - дезинфекция подвала после прочистки канализационного выпуска (хлорка - 2 кг.)</t>
  </si>
  <si>
    <t xml:space="preserve">I п. тамбур, II п. 1 эт. - замена эл.лампочки 40 Вт - 2шт. </t>
  </si>
  <si>
    <t>кв. № 11, 12 - демонтаж, монтаж стояков отопления с монтажем перемычки и шаровых кранов</t>
  </si>
  <si>
    <t>I п. (уличное освещение) - замена фотореле - 1 шт.</t>
  </si>
  <si>
    <t>очистка подвального помещения от мусора</t>
  </si>
  <si>
    <t>подвал - демонтаж, монтаж плети отопления</t>
  </si>
  <si>
    <t>III п. (уличное освещение) - замена светодиодной лампы 20 Вт. - 1 шт.</t>
  </si>
  <si>
    <t>подвал (кв. № 17) - ремонтные работы</t>
  </si>
  <si>
    <t>осмотр и очистка от мусора межэтажных эл. щитов</t>
  </si>
  <si>
    <t>IIп.  - демонтаж, монтаж подвального люка</t>
  </si>
  <si>
    <t>подвал - утепление труб, стены в подвале</t>
  </si>
  <si>
    <t>подвал - запенены отдушины (монтажная пена - 1 бал.)</t>
  </si>
  <si>
    <t>I - IIIп. - очистка снега с подъездных козырьков - 3 шт.</t>
  </si>
  <si>
    <t>прочистка дороги от снега вдоль дома и подъезд к контейнерам (погрузчиком 1 час. 13 мин.)</t>
  </si>
  <si>
    <t>дезинфекция МОП МКД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</si>
  <si>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</si>
  <si>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переходящий остаток с 2020 года</t>
  </si>
  <si>
    <t>2021 г.</t>
  </si>
  <si>
    <t>уличное освещение (детская площадка) - замена светодиодных ламп в светильниках на детской площадке - 3 шт.</t>
  </si>
  <si>
    <t>доставка грунта (земля)</t>
  </si>
  <si>
    <t>IIп. (уличное освещение) - замена энергосберег. лампы 45 Вт.</t>
  </si>
  <si>
    <t>подвал (кв. № 16, 31) - ремонтные работы</t>
  </si>
  <si>
    <t>уличное освещение - замена светодиодных ламп в светильниках на детской площадке 9, 12 Вт. - 4 шт.</t>
  </si>
  <si>
    <t>придомовая территория - насыпана соль - 30 кг.</t>
  </si>
  <si>
    <t>придомовая территория - насыпана соль - 2 кг.</t>
  </si>
  <si>
    <t>IIп.  - при монтаже подвального люка, демонтирована, монтирована труба ХВС (муфта d 25 мм. - 2 шт.)</t>
  </si>
  <si>
    <t>переходящий остаток на 2022 год</t>
  </si>
  <si>
    <t>вызов аврийной службы - 1 заявка (порыв ГВС)</t>
  </si>
  <si>
    <t>II п. - переключение ГВС (после порыва, шар. кран d 20 - 1 шт., тройник - 1 шт., труба - 0,5м., соединение - 1 шт., нить - 1м.)</t>
  </si>
  <si>
    <t>монтаж досок объявлений (табличка - 3 шт., дюбель гвоздь - 12 шт.)</t>
  </si>
  <si>
    <r>
      <t>очистка кровли от снега и наледи (50 м</t>
    </r>
    <r>
      <rPr>
        <sz val="10.1"/>
        <rFont val="Calibri"/>
        <family val="2"/>
      </rPr>
      <t>²)</t>
    </r>
  </si>
  <si>
    <t>монтаж информационных табличек на подъездные двери (таблички - 3 шт., саморез - 12 шт.)</t>
  </si>
  <si>
    <t>подвальный люк - замена замка - 1 шт.</t>
  </si>
  <si>
    <t>прочистка дороги от снега вдоль дома и подъезд к контейнерам (погрузчиком 1 час. 35 мин.)</t>
  </si>
  <si>
    <t>подвал - монтаж освещения (провод - 66м., патрон - 7 шт., эл. лампа 40 Вт. - 7 шт., распред коробка - 3 шт., выключатель - 2 шт., розетка - 2 шт.,  дюбель крепежный - 16 шт., дюбель - 40 шт., саморезы - 40 шт.)</t>
  </si>
  <si>
    <t>ремонт урн (сварочные работы)</t>
  </si>
  <si>
    <t>прочистка дороги от снега вдоль дома и подъезд к контейнерам (погрузчиком 3 час. 10 мин.)</t>
  </si>
  <si>
    <t>II п. 2 эт. - вызов аварийной службы (болт - 4 шт., шайба - 8 шт., сжим - 4 шт., изолента - 2 рул.) - 1 заявка</t>
  </si>
  <si>
    <r>
      <t>очистка кровли от снега и наледи (470 м</t>
    </r>
    <r>
      <rPr>
        <sz val="10.1"/>
        <rFont val="Calibri"/>
        <family val="2"/>
      </rPr>
      <t>²)</t>
    </r>
  </si>
  <si>
    <r>
      <t>кв. №  28 - демонтаж, монтаж п/сушителя, канализационного стояка (труба d 110 - 1м., манжета - 1 шт., диск - 1 шт., селикон - 0,5 бут., труба d 25 - 4м.,  уголок d 25 90</t>
    </r>
    <r>
      <rPr>
        <sz val="9"/>
        <rFont val="Arial"/>
        <family val="2"/>
      </rPr>
      <t>˚</t>
    </r>
    <r>
      <rPr>
        <sz val="9"/>
        <rFont val="Arial Cyr"/>
        <family val="0"/>
      </rPr>
      <t>С - 6 шт.,  муфта комбинированная - 2 шт., тройник - 1 шт., шар. кран d 20 - 1 шт., d 25 - 1 шт., нить - 6м.)</t>
    </r>
  </si>
  <si>
    <t>кв. № 28 - прочистка вентиляции</t>
  </si>
  <si>
    <t xml:space="preserve">подвал - дезинсекция (фенаксин - 1 кг.), дератизация (крысиная смерть - 1 кг.) </t>
  </si>
  <si>
    <t>детская площадка, уличное освещение - замена светодиодной лампы 20 Вт. в светильнике - 4 шт.</t>
  </si>
  <si>
    <r>
      <t>кв. № 28 - частичная замена стояка отопления (труба d 32 - 12м.,  диск - 1 шт., уголок d 32 90</t>
    </r>
    <r>
      <rPr>
        <sz val="9"/>
        <rFont val="Arial"/>
        <family val="2"/>
      </rPr>
      <t>˚</t>
    </r>
    <r>
      <rPr>
        <sz val="9"/>
        <rFont val="Arial Cyr"/>
        <family val="0"/>
      </rPr>
      <t>С - 3 шт.,  муфта комбинированная - 3 шт., нить - 10м.)</t>
    </r>
  </si>
  <si>
    <r>
      <t>кв. № 4 (подвал) - частичная замена стояка отопления (труба d 25 - 3м., уголок d 25 90</t>
    </r>
    <r>
      <rPr>
        <sz val="9"/>
        <rFont val="Arial"/>
        <family val="2"/>
      </rPr>
      <t>˚</t>
    </r>
    <r>
      <rPr>
        <sz val="9"/>
        <rFont val="Arial Cyr"/>
        <family val="0"/>
      </rPr>
      <t>С - 1 шт.,  муфта комбинированная - 1 шт., тройник - 1 шт., нить - 5м.)</t>
    </r>
  </si>
  <si>
    <t>кв. № 11 - ремонт вентиляционной трубы в чердаке (пена монтажная - 2 бал.)</t>
  </si>
  <si>
    <t>кв. № 28 - оштукатуривание в подъезде после прочистки вентиляции</t>
  </si>
  <si>
    <t>чердак - очистка от мусора</t>
  </si>
  <si>
    <t>кв. № 10, 24 - вызов аварийной службы - 2 заявки</t>
  </si>
  <si>
    <r>
      <t>очистка кровли от снега и наледи (65 м</t>
    </r>
    <r>
      <rPr>
        <sz val="10.1"/>
        <rFont val="Calibri"/>
        <family val="2"/>
      </rPr>
      <t>²)</t>
    </r>
  </si>
  <si>
    <t>III п. 2 эт. - вызов аварийной службы (замена свет. лампы 11 Вт. - 1 шт.) - 1 заявка</t>
  </si>
  <si>
    <r>
      <t>I п., чердак - ремонт (удлинение) вентиляционных труб в чердаке (труба d 110 - 2м., уголок d 110 45</t>
    </r>
    <r>
      <rPr>
        <sz val="9"/>
        <rFont val="Arial"/>
        <family val="2"/>
      </rPr>
      <t>˚</t>
    </r>
    <r>
      <rPr>
        <sz val="9"/>
        <rFont val="Arial Cyr"/>
        <family val="0"/>
      </rPr>
      <t>С - 1 шт., пена монтажная - 1 бал.)</t>
    </r>
  </si>
  <si>
    <t>кв. № 28 - утепление, запенены швы между плит  (монтажная пена - 6 бал.)</t>
  </si>
  <si>
    <t>кв. № 3, подвал - утепление, запенены отдушины, швы между плит  (монтажная пена - 4 бал.)</t>
  </si>
  <si>
    <t>прочистка дороги от снега вдоль дома и подъезд к контейнерам (погрузчиком 1 час. 45 мин.)</t>
  </si>
  <si>
    <r>
      <t>очистка кровли от снега и наледи (80 м</t>
    </r>
    <r>
      <rPr>
        <sz val="10.1"/>
        <rFont val="Calibri"/>
        <family val="2"/>
      </rPr>
      <t>²)</t>
    </r>
  </si>
  <si>
    <t>кв. № 34 - вызов аварийной службы (соединение - 2 шт., заглушка - 2 шт.) - 1 заявка</t>
  </si>
  <si>
    <t>заказ реестра собственников</t>
  </si>
  <si>
    <t xml:space="preserve">I, II, III п. - открытка А 4 - 3 шт. </t>
  </si>
  <si>
    <t xml:space="preserve">III п. тамбур, подвал - замена светодиодной лампы 5 Вт - 3шт. </t>
  </si>
  <si>
    <t>II, IIIп. - очистка подъездных козырьков от снега - 2 шт.</t>
  </si>
  <si>
    <t>I, II, IIIп. - очистка подъездных козырьков от снега - 3 шт.</t>
  </si>
  <si>
    <r>
      <t>кв. № 1 - переподключение подачи в системе отопления (с обратки на подачу, уголок d 25 90</t>
    </r>
    <r>
      <rPr>
        <sz val="9"/>
        <rFont val="Arial"/>
        <family val="2"/>
      </rPr>
      <t>˚С - 2 шт., муфта комбинированная - 1 шт.)</t>
    </r>
    <r>
      <rPr>
        <sz val="9"/>
        <rFont val="Arial Cyr"/>
        <family val="0"/>
      </rPr>
      <t xml:space="preserve"> </t>
    </r>
  </si>
  <si>
    <t xml:space="preserve">II п. тамбур - замена эл. патрона - 1 шт., эл.лампочки 40 Вт. - 1шт. </t>
  </si>
  <si>
    <t>кв. № 14, 32 - вызов аварийной службы - 2 заявки</t>
  </si>
  <si>
    <t xml:space="preserve">I п. тамбур - замена светодиодной лампы 5 Вт. - 1шт. </t>
  </si>
  <si>
    <t>дезинфекция подвала (гипохлорид - 1л.)</t>
  </si>
  <si>
    <t>кв. № 8 - вызов аварийной службы (замена колодки предохранителя 100 А - 1 шт. в ВРУ) - 2 заявки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</si>
</sst>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\г\."/>
    <numFmt numFmtId="177" formatCode="#.##0"/>
    <numFmt numFmtId="178" formatCode="0.0"/>
  </numFmts>
  <fonts count="6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ur"/>
      <family val="0"/>
    </font>
    <font>
      <sz val="10.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b/>
      <sz val="8"/>
      <color indexed="36"/>
      <name val="Arial Cyr"/>
      <family val="0"/>
    </font>
    <font>
      <sz val="8"/>
      <color indexed="36"/>
      <name val="Arial Cyr"/>
      <family val="2"/>
    </font>
    <font>
      <sz val="10"/>
      <color indexed="36"/>
      <name val="Arial Cyr"/>
      <family val="0"/>
    </font>
    <font>
      <b/>
      <sz val="9"/>
      <color indexed="36"/>
      <name val="Arial"/>
      <family val="2"/>
    </font>
    <font>
      <sz val="9"/>
      <color indexed="36"/>
      <name val="Arial"/>
      <family val="2"/>
    </font>
    <font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b/>
      <sz val="8"/>
      <color rgb="FF7030A0"/>
      <name val="Arial Cyr"/>
      <family val="0"/>
    </font>
    <font>
      <sz val="8"/>
      <color rgb="FF7030A0"/>
      <name val="Arial Cyr"/>
      <family val="2"/>
    </font>
    <font>
      <sz val="10"/>
      <color rgb="FF7030A0"/>
      <name val="Arial Cyr"/>
      <family val="0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9"/>
      <color rgb="FF7030A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left" vertical="top"/>
      <protection/>
    </xf>
    <xf numFmtId="0" fontId="43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4" fillId="0" borderId="0">
      <alignment horizontal="right" vertical="top"/>
      <protection/>
    </xf>
    <xf numFmtId="0" fontId="42" fillId="0" borderId="0">
      <alignment horizontal="left" vertical="top"/>
      <protection/>
    </xf>
    <xf numFmtId="0" fontId="43" fillId="0" borderId="0">
      <alignment horizontal="center" vertical="center"/>
      <protection/>
    </xf>
    <xf numFmtId="0" fontId="43" fillId="0" borderId="0">
      <alignment horizontal="center" vertical="top"/>
      <protection/>
    </xf>
    <xf numFmtId="0" fontId="43" fillId="0" borderId="0">
      <alignment horizontal="center" vertical="top"/>
      <protection/>
    </xf>
    <xf numFmtId="0" fontId="45" fillId="0" borderId="0">
      <alignment horizontal="left" vertical="top"/>
      <protection/>
    </xf>
    <xf numFmtId="0" fontId="43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7" xfId="0" applyFont="1" applyFill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35" borderId="16" xfId="0" applyFont="1" applyFill="1" applyBorder="1" applyAlignment="1">
      <alignment/>
    </xf>
    <xf numFmtId="0" fontId="6" fillId="35" borderId="16" xfId="0" applyFont="1" applyFill="1" applyBorder="1" applyAlignment="1">
      <alignment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2" fontId="1" fillId="35" borderId="16" xfId="0" applyNumberFormat="1" applyFont="1" applyFill="1" applyBorder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2" fontId="5" fillId="0" borderId="28" xfId="0" applyNumberFormat="1" applyFont="1" applyBorder="1" applyAlignment="1">
      <alignment vertical="center"/>
    </xf>
    <xf numFmtId="0" fontId="5" fillId="36" borderId="19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vertical="center"/>
    </xf>
    <xf numFmtId="2" fontId="6" fillId="0" borderId="32" xfId="0" applyNumberFormat="1" applyFont="1" applyBorder="1" applyAlignment="1">
      <alignment/>
    </xf>
    <xf numFmtId="2" fontId="6" fillId="0" borderId="33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37" xfId="0" applyFont="1" applyBorder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41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34" borderId="16" xfId="0" applyNumberFormat="1" applyFont="1" applyFill="1" applyBorder="1" applyAlignment="1">
      <alignment horizontal="right"/>
    </xf>
    <xf numFmtId="2" fontId="6" fillId="0" borderId="35" xfId="0" applyNumberFormat="1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vertical="center"/>
    </xf>
    <xf numFmtId="0" fontId="5" fillId="0" borderId="42" xfId="0" applyFont="1" applyBorder="1" applyAlignment="1">
      <alignment horizontal="left" wrapText="1"/>
    </xf>
    <xf numFmtId="2" fontId="6" fillId="0" borderId="36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0" fontId="5" fillId="0" borderId="4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2" fontId="6" fillId="0" borderId="46" xfId="0" applyNumberFormat="1" applyFont="1" applyBorder="1" applyAlignment="1">
      <alignment horizontal="right"/>
    </xf>
    <xf numFmtId="2" fontId="6" fillId="0" borderId="4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/>
    </xf>
    <xf numFmtId="0" fontId="5" fillId="0" borderId="28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2" fontId="6" fillId="35" borderId="16" xfId="0" applyNumberFormat="1" applyFont="1" applyFill="1" applyBorder="1" applyAlignment="1">
      <alignment vertical="center" wrapText="1"/>
    </xf>
    <xf numFmtId="0" fontId="5" fillId="0" borderId="29" xfId="0" applyNumberFormat="1" applyFont="1" applyBorder="1" applyAlignment="1">
      <alignment vertical="center"/>
    </xf>
    <xf numFmtId="0" fontId="5" fillId="36" borderId="19" xfId="0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horizontal="left" wrapText="1"/>
    </xf>
    <xf numFmtId="0" fontId="5" fillId="0" borderId="29" xfId="0" applyNumberFormat="1" applyFont="1" applyBorder="1" applyAlignment="1">
      <alignment/>
    </xf>
    <xf numFmtId="0" fontId="5" fillId="0" borderId="13" xfId="0" applyNumberFormat="1" applyFont="1" applyBorder="1" applyAlignment="1">
      <alignment vertical="center"/>
    </xf>
    <xf numFmtId="0" fontId="5" fillId="36" borderId="19" xfId="0" applyNumberFormat="1" applyFont="1" applyFill="1" applyBorder="1" applyAlignment="1">
      <alignment/>
    </xf>
    <xf numFmtId="0" fontId="5" fillId="36" borderId="29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wrapText="1"/>
    </xf>
    <xf numFmtId="2" fontId="62" fillId="0" borderId="35" xfId="0" applyNumberFormat="1" applyFont="1" applyBorder="1" applyAlignment="1">
      <alignment/>
    </xf>
    <xf numFmtId="2" fontId="62" fillId="0" borderId="26" xfId="0" applyNumberFormat="1" applyFont="1" applyBorder="1" applyAlignment="1">
      <alignment horizontal="right"/>
    </xf>
    <xf numFmtId="2" fontId="62" fillId="0" borderId="35" xfId="0" applyNumberFormat="1" applyFont="1" applyBorder="1" applyAlignment="1">
      <alignment horizontal="right"/>
    </xf>
    <xf numFmtId="2" fontId="62" fillId="0" borderId="26" xfId="0" applyNumberFormat="1" applyFont="1" applyBorder="1" applyAlignment="1">
      <alignment/>
    </xf>
    <xf numFmtId="2" fontId="62" fillId="0" borderId="27" xfId="0" applyNumberFormat="1" applyFont="1" applyBorder="1" applyAlignment="1">
      <alignment horizontal="right"/>
    </xf>
    <xf numFmtId="2" fontId="62" fillId="0" borderId="36" xfId="0" applyNumberFormat="1" applyFont="1" applyBorder="1" applyAlignment="1">
      <alignment/>
    </xf>
    <xf numFmtId="2" fontId="62" fillId="0" borderId="0" xfId="0" applyNumberFormat="1" applyFont="1" applyBorder="1" applyAlignment="1">
      <alignment horizontal="right"/>
    </xf>
    <xf numFmtId="2" fontId="62" fillId="0" borderId="36" xfId="0" applyNumberFormat="1" applyFont="1" applyBorder="1" applyAlignment="1">
      <alignment horizontal="right"/>
    </xf>
    <xf numFmtId="2" fontId="62" fillId="0" borderId="0" xfId="0" applyNumberFormat="1" applyFont="1" applyBorder="1" applyAlignment="1">
      <alignment/>
    </xf>
    <xf numFmtId="2" fontId="62" fillId="0" borderId="23" xfId="0" applyNumberFormat="1" applyFont="1" applyBorder="1" applyAlignment="1">
      <alignment horizontal="right"/>
    </xf>
    <xf numFmtId="2" fontId="63" fillId="0" borderId="0" xfId="0" applyNumberFormat="1" applyFont="1" applyBorder="1" applyAlignment="1">
      <alignment horizontal="right"/>
    </xf>
    <xf numFmtId="2" fontId="63" fillId="0" borderId="26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wrapText="1"/>
    </xf>
    <xf numFmtId="2" fontId="62" fillId="0" borderId="36" xfId="0" applyNumberFormat="1" applyFont="1" applyBorder="1" applyAlignment="1">
      <alignment/>
    </xf>
    <xf numFmtId="2" fontId="62" fillId="0" borderId="0" xfId="0" applyNumberFormat="1" applyFont="1" applyBorder="1" applyAlignment="1">
      <alignment horizontal="right"/>
    </xf>
    <xf numFmtId="2" fontId="62" fillId="0" borderId="23" xfId="0" applyNumberFormat="1" applyFont="1" applyBorder="1" applyAlignment="1">
      <alignment horizontal="right"/>
    </xf>
    <xf numFmtId="2" fontId="62" fillId="0" borderId="36" xfId="0" applyNumberFormat="1" applyFont="1" applyBorder="1" applyAlignment="1">
      <alignment horizontal="right"/>
    </xf>
    <xf numFmtId="2" fontId="62" fillId="0" borderId="0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31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2" fontId="62" fillId="0" borderId="36" xfId="0" applyNumberFormat="1" applyFont="1" applyBorder="1" applyAlignment="1">
      <alignment/>
    </xf>
    <xf numFmtId="2" fontId="62" fillId="0" borderId="0" xfId="0" applyNumberFormat="1" applyFont="1" applyBorder="1" applyAlignment="1">
      <alignment horizontal="right"/>
    </xf>
    <xf numFmtId="2" fontId="62" fillId="0" borderId="23" xfId="0" applyNumberFormat="1" applyFont="1" applyBorder="1" applyAlignment="1">
      <alignment horizontal="right"/>
    </xf>
    <xf numFmtId="2" fontId="62" fillId="0" borderId="36" xfId="0" applyNumberFormat="1" applyFont="1" applyBorder="1" applyAlignment="1">
      <alignment horizontal="right"/>
    </xf>
    <xf numFmtId="2" fontId="62" fillId="0" borderId="0" xfId="0" applyNumberFormat="1" applyFont="1" applyBorder="1" applyAlignment="1">
      <alignment/>
    </xf>
    <xf numFmtId="2" fontId="7" fillId="0" borderId="22" xfId="44" applyNumberFormat="1" applyFont="1" applyBorder="1" applyAlignment="1">
      <alignment horizontal="right" vertical="top" wrapText="1"/>
      <protection/>
    </xf>
    <xf numFmtId="2" fontId="6" fillId="0" borderId="32" xfId="0" applyNumberFormat="1" applyFont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32" xfId="0" applyNumberFormat="1" applyFont="1" applyBorder="1" applyAlignment="1">
      <alignment horizontal="right" vertical="center"/>
    </xf>
    <xf numFmtId="0" fontId="5" fillId="36" borderId="14" xfId="0" applyNumberFormat="1" applyFont="1" applyFill="1" applyBorder="1" applyAlignment="1">
      <alignment vertical="center"/>
    </xf>
    <xf numFmtId="1" fontId="5" fillId="0" borderId="19" xfId="0" applyNumberFormat="1" applyFont="1" applyBorder="1" applyAlignment="1">
      <alignment vertical="center"/>
    </xf>
    <xf numFmtId="1" fontId="5" fillId="0" borderId="19" xfId="0" applyNumberFormat="1" applyFont="1" applyBorder="1" applyAlignment="1">
      <alignment horizontal="right" vertical="center"/>
    </xf>
    <xf numFmtId="0" fontId="5" fillId="36" borderId="29" xfId="0" applyNumberFormat="1" applyFont="1" applyFill="1" applyBorder="1" applyAlignment="1">
      <alignment vertical="center"/>
    </xf>
    <xf numFmtId="2" fontId="62" fillId="0" borderId="0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 vertical="center"/>
    </xf>
    <xf numFmtId="0" fontId="5" fillId="36" borderId="19" xfId="0" applyNumberFormat="1" applyFont="1" applyFill="1" applyBorder="1" applyAlignment="1">
      <alignment vertical="center"/>
    </xf>
    <xf numFmtId="0" fontId="5" fillId="36" borderId="19" xfId="0" applyNumberFormat="1" applyFont="1" applyFill="1" applyBorder="1" applyAlignment="1">
      <alignment vertical="center"/>
    </xf>
    <xf numFmtId="0" fontId="5" fillId="36" borderId="30" xfId="0" applyFont="1" applyFill="1" applyBorder="1" applyAlignment="1">
      <alignment horizontal="left" wrapText="1"/>
    </xf>
    <xf numFmtId="2" fontId="62" fillId="0" borderId="36" xfId="0" applyNumberFormat="1" applyFont="1" applyBorder="1" applyAlignment="1">
      <alignment/>
    </xf>
    <xf numFmtId="2" fontId="62" fillId="0" borderId="0" xfId="0" applyNumberFormat="1" applyFont="1" applyBorder="1" applyAlignment="1">
      <alignment horizontal="right"/>
    </xf>
    <xf numFmtId="2" fontId="62" fillId="0" borderId="23" xfId="0" applyNumberFormat="1" applyFont="1" applyBorder="1" applyAlignment="1">
      <alignment horizontal="right"/>
    </xf>
    <xf numFmtId="2" fontId="62" fillId="0" borderId="36" xfId="0" applyNumberFormat="1" applyFont="1" applyBorder="1" applyAlignment="1">
      <alignment horizontal="right"/>
    </xf>
    <xf numFmtId="2" fontId="62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left" vertical="center" wrapText="1"/>
    </xf>
    <xf numFmtId="2" fontId="6" fillId="36" borderId="32" xfId="0" applyNumberFormat="1" applyFont="1" applyFill="1" applyBorder="1" applyAlignment="1">
      <alignment horizontal="right"/>
    </xf>
    <xf numFmtId="2" fontId="6" fillId="36" borderId="22" xfId="0" applyNumberFormat="1" applyFont="1" applyFill="1" applyBorder="1" applyAlignment="1">
      <alignment horizontal="right"/>
    </xf>
    <xf numFmtId="49" fontId="0" fillId="0" borderId="37" xfId="0" applyNumberFormat="1" applyFont="1" applyBorder="1" applyAlignment="1">
      <alignment horizontal="left"/>
    </xf>
    <xf numFmtId="2" fontId="1" fillId="34" borderId="13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left"/>
    </xf>
    <xf numFmtId="0" fontId="6" fillId="0" borderId="29" xfId="0" applyFont="1" applyBorder="1" applyAlignment="1">
      <alignment horizontal="right"/>
    </xf>
    <xf numFmtId="0" fontId="5" fillId="0" borderId="31" xfId="0" applyFont="1" applyBorder="1" applyAlignment="1">
      <alignment horizontal="left" wrapText="1"/>
    </xf>
    <xf numFmtId="1" fontId="5" fillId="0" borderId="31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0" fontId="7" fillId="0" borderId="22" xfId="37" applyFont="1" applyBorder="1" applyAlignment="1" quotePrefix="1">
      <alignment horizontal="right" vertical="center" wrapText="1"/>
      <protection/>
    </xf>
    <xf numFmtId="2" fontId="62" fillId="0" borderId="37" xfId="0" applyNumberFormat="1" applyFont="1" applyBorder="1" applyAlignment="1">
      <alignment horizontal="right"/>
    </xf>
    <xf numFmtId="2" fontId="62" fillId="0" borderId="24" xfId="0" applyNumberFormat="1" applyFont="1" applyBorder="1" applyAlignment="1">
      <alignment horizontal="right"/>
    </xf>
    <xf numFmtId="2" fontId="62" fillId="0" borderId="25" xfId="0" applyNumberFormat="1" applyFont="1" applyBorder="1" applyAlignment="1">
      <alignment horizontal="right"/>
    </xf>
    <xf numFmtId="2" fontId="62" fillId="0" borderId="37" xfId="0" applyNumberFormat="1" applyFont="1" applyBorder="1" applyAlignment="1">
      <alignment/>
    </xf>
    <xf numFmtId="2" fontId="62" fillId="0" borderId="24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63" fillId="0" borderId="37" xfId="0" applyNumberFormat="1" applyFont="1" applyBorder="1" applyAlignment="1">
      <alignment horizontal="right"/>
    </xf>
    <xf numFmtId="2" fontId="63" fillId="0" borderId="24" xfId="0" applyNumberFormat="1" applyFont="1" applyBorder="1" applyAlignment="1">
      <alignment horizontal="right"/>
    </xf>
    <xf numFmtId="2" fontId="63" fillId="0" borderId="25" xfId="0" applyNumberFormat="1" applyFont="1" applyBorder="1" applyAlignment="1">
      <alignment horizontal="right"/>
    </xf>
    <xf numFmtId="2" fontId="62" fillId="0" borderId="21" xfId="0" applyNumberFormat="1" applyFont="1" applyBorder="1" applyAlignment="1">
      <alignment horizontal="right"/>
    </xf>
    <xf numFmtId="2" fontId="63" fillId="0" borderId="21" xfId="0" applyNumberFormat="1" applyFont="1" applyBorder="1" applyAlignment="1">
      <alignment horizontal="right"/>
    </xf>
    <xf numFmtId="2" fontId="42" fillId="0" borderId="22" xfId="44" applyNumberFormat="1" applyFont="1" applyBorder="1" applyAlignment="1">
      <alignment horizontal="right" vertical="top" wrapText="1"/>
      <protection/>
    </xf>
    <xf numFmtId="0" fontId="5" fillId="0" borderId="29" xfId="0" applyFont="1" applyBorder="1" applyAlignment="1">
      <alignment horizontal="left" vertical="center" wrapText="1"/>
    </xf>
    <xf numFmtId="2" fontId="8" fillId="36" borderId="28" xfId="0" applyNumberFormat="1" applyFont="1" applyFill="1" applyBorder="1" applyAlignment="1">
      <alignment horizontal="right" vertical="center" wrapText="1"/>
    </xf>
    <xf numFmtId="2" fontId="5" fillId="0" borderId="29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vertical="center"/>
    </xf>
    <xf numFmtId="0" fontId="5" fillId="0" borderId="49" xfId="0" applyFont="1" applyBorder="1" applyAlignment="1">
      <alignment horizontal="left" wrapText="1"/>
    </xf>
    <xf numFmtId="0" fontId="5" fillId="36" borderId="29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vertical="center" wrapText="1"/>
    </xf>
    <xf numFmtId="0" fontId="5" fillId="36" borderId="42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0" xfId="0" applyFont="1" applyBorder="1" applyAlignment="1">
      <alignment horizontal="left" vertical="center" wrapText="1"/>
    </xf>
    <xf numFmtId="0" fontId="5" fillId="36" borderId="51" xfId="0" applyFont="1" applyFill="1" applyBorder="1" applyAlignment="1">
      <alignment horizontal="left" wrapText="1"/>
    </xf>
    <xf numFmtId="0" fontId="5" fillId="36" borderId="31" xfId="0" applyNumberFormat="1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 wrapText="1"/>
    </xf>
    <xf numFmtId="2" fontId="1" fillId="35" borderId="16" xfId="0" applyNumberFormat="1" applyFont="1" applyFill="1" applyBorder="1" applyAlignment="1">
      <alignment vertical="center" wrapText="1"/>
    </xf>
    <xf numFmtId="0" fontId="5" fillId="36" borderId="13" xfId="0" applyNumberFormat="1" applyFont="1" applyFill="1" applyBorder="1" applyAlignment="1">
      <alignment vertical="center"/>
    </xf>
    <xf numFmtId="0" fontId="5" fillId="36" borderId="0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2" fontId="5" fillId="36" borderId="19" xfId="0" applyNumberFormat="1" applyFont="1" applyFill="1" applyBorder="1" applyAlignment="1">
      <alignment vertical="center" wrapText="1"/>
    </xf>
    <xf numFmtId="2" fontId="63" fillId="0" borderId="52" xfId="0" applyNumberFormat="1" applyFont="1" applyBorder="1" applyAlignment="1">
      <alignment horizontal="right"/>
    </xf>
    <xf numFmtId="2" fontId="42" fillId="0" borderId="16" xfId="44" applyNumberFormat="1" applyFont="1" applyBorder="1" applyAlignment="1">
      <alignment horizontal="right" vertical="top" wrapText="1"/>
      <protection/>
    </xf>
    <xf numFmtId="0" fontId="5" fillId="0" borderId="13" xfId="0" applyNumberFormat="1" applyFont="1" applyFill="1" applyBorder="1" applyAlignment="1">
      <alignment vertical="center"/>
    </xf>
    <xf numFmtId="2" fontId="62" fillId="0" borderId="33" xfId="0" applyNumberFormat="1" applyFont="1" applyBorder="1" applyAlignment="1">
      <alignment horizontal="right"/>
    </xf>
    <xf numFmtId="2" fontId="62" fillId="0" borderId="21" xfId="0" applyNumberFormat="1" applyFont="1" applyBorder="1" applyAlignment="1">
      <alignment horizontal="right" vertical="center"/>
    </xf>
    <xf numFmtId="0" fontId="64" fillId="0" borderId="14" xfId="0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left"/>
    </xf>
    <xf numFmtId="0" fontId="62" fillId="0" borderId="29" xfId="0" applyFont="1" applyBorder="1" applyAlignment="1">
      <alignment horizontal="right"/>
    </xf>
    <xf numFmtId="0" fontId="64" fillId="0" borderId="38" xfId="0" applyFont="1" applyBorder="1" applyAlignment="1">
      <alignment/>
    </xf>
    <xf numFmtId="0" fontId="64" fillId="0" borderId="39" xfId="0" applyFont="1" applyBorder="1" applyAlignment="1">
      <alignment/>
    </xf>
    <xf numFmtId="0" fontId="64" fillId="0" borderId="40" xfId="0" applyFont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0" xfId="0" applyFont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 wrapText="1"/>
    </xf>
    <xf numFmtId="2" fontId="1" fillId="35" borderId="16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/>
    </xf>
    <xf numFmtId="0" fontId="5" fillId="0" borderId="44" xfId="0" applyFont="1" applyBorder="1" applyAlignment="1">
      <alignment horizontal="left" vertical="center" wrapText="1"/>
    </xf>
    <xf numFmtId="0" fontId="8" fillId="36" borderId="29" xfId="0" applyNumberFormat="1" applyFont="1" applyFill="1" applyBorder="1" applyAlignment="1">
      <alignment horizontal="righ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2" fontId="62" fillId="0" borderId="26" xfId="0" applyNumberFormat="1" applyFont="1" applyBorder="1" applyAlignment="1">
      <alignment horizontal="right" vertical="center"/>
    </xf>
    <xf numFmtId="0" fontId="66" fillId="0" borderId="27" xfId="37" applyFont="1" applyBorder="1" applyAlignment="1" quotePrefix="1">
      <alignment horizontal="right" vertical="center" wrapText="1"/>
      <protection/>
    </xf>
    <xf numFmtId="0" fontId="66" fillId="0" borderId="0" xfId="37" applyFont="1" applyBorder="1" applyAlignment="1" quotePrefix="1">
      <alignment horizontal="right" vertical="center" wrapText="1"/>
      <protection/>
    </xf>
    <xf numFmtId="0" fontId="0" fillId="0" borderId="36" xfId="0" applyBorder="1" applyAlignment="1">
      <alignment/>
    </xf>
    <xf numFmtId="2" fontId="62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2" fontId="7" fillId="0" borderId="16" xfId="44" applyNumberFormat="1" applyFont="1" applyBorder="1" applyAlignment="1">
      <alignment horizontal="right" vertical="top" wrapText="1"/>
      <protection/>
    </xf>
    <xf numFmtId="2" fontId="6" fillId="0" borderId="2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 vertical="center"/>
    </xf>
    <xf numFmtId="2" fontId="6" fillId="0" borderId="36" xfId="0" applyNumberFormat="1" applyFont="1" applyBorder="1" applyAlignment="1">
      <alignment horizontal="right" vertical="center"/>
    </xf>
    <xf numFmtId="0" fontId="5" fillId="36" borderId="13" xfId="0" applyFont="1" applyFill="1" applyBorder="1" applyAlignment="1">
      <alignment horizontal="left" wrapText="1"/>
    </xf>
    <xf numFmtId="2" fontId="5" fillId="36" borderId="29" xfId="0" applyNumberFormat="1" applyFont="1" applyFill="1" applyBorder="1" applyAlignment="1">
      <alignment vertical="center"/>
    </xf>
    <xf numFmtId="0" fontId="67" fillId="36" borderId="29" xfId="0" applyNumberFormat="1" applyFont="1" applyFill="1" applyBorder="1" applyAlignment="1">
      <alignment horizontal="right" vertical="center" wrapText="1"/>
    </xf>
    <xf numFmtId="2" fontId="62" fillId="0" borderId="35" xfId="0" applyNumberFormat="1" applyFont="1" applyBorder="1" applyAlignment="1">
      <alignment horizontal="right" vertical="center"/>
    </xf>
    <xf numFmtId="0" fontId="68" fillId="0" borderId="19" xfId="0" applyFont="1" applyBorder="1" applyAlignment="1">
      <alignment horizontal="left" vertical="center" wrapText="1"/>
    </xf>
    <xf numFmtId="0" fontId="68" fillId="0" borderId="37" xfId="0" applyFont="1" applyBorder="1" applyAlignment="1">
      <alignment/>
    </xf>
    <xf numFmtId="0" fontId="65" fillId="0" borderId="0" xfId="0" applyFont="1" applyAlignment="1">
      <alignment/>
    </xf>
    <xf numFmtId="0" fontId="9" fillId="0" borderId="29" xfId="0" applyFont="1" applyBorder="1" applyAlignment="1">
      <alignment horizontal="left" vertical="center" wrapText="1"/>
    </xf>
    <xf numFmtId="0" fontId="9" fillId="36" borderId="29" xfId="0" applyFont="1" applyFill="1" applyBorder="1" applyAlignment="1">
      <alignment horizontal="left" vertical="center" wrapText="1"/>
    </xf>
    <xf numFmtId="0" fontId="9" fillId="36" borderId="19" xfId="0" applyFont="1" applyFill="1" applyBorder="1" applyAlignment="1">
      <alignment horizontal="left" vertical="center" wrapText="1"/>
    </xf>
    <xf numFmtId="0" fontId="5" fillId="36" borderId="44" xfId="0" applyFont="1" applyFill="1" applyBorder="1" applyAlignment="1">
      <alignment horizontal="left" vertical="center" wrapText="1"/>
    </xf>
    <xf numFmtId="0" fontId="5" fillId="36" borderId="19" xfId="0" applyNumberFormat="1" applyFont="1" applyFill="1" applyBorder="1" applyAlignment="1">
      <alignment vertical="center" wrapText="1"/>
    </xf>
    <xf numFmtId="0" fontId="5" fillId="36" borderId="44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/>
    </xf>
    <xf numFmtId="0" fontId="5" fillId="36" borderId="13" xfId="0" applyFont="1" applyFill="1" applyBorder="1" applyAlignment="1">
      <alignment horizontal="left" vertical="center" wrapText="1"/>
    </xf>
    <xf numFmtId="0" fontId="8" fillId="36" borderId="44" xfId="0" applyNumberFormat="1" applyFont="1" applyFill="1" applyBorder="1" applyAlignment="1">
      <alignment horizontal="right" vertical="center" wrapText="1"/>
    </xf>
    <xf numFmtId="0" fontId="5" fillId="0" borderId="44" xfId="0" applyNumberFormat="1" applyFont="1" applyFill="1" applyBorder="1" applyAlignment="1">
      <alignment vertical="center"/>
    </xf>
    <xf numFmtId="0" fontId="5" fillId="36" borderId="51" xfId="0" applyFont="1" applyFill="1" applyBorder="1" applyAlignment="1">
      <alignment horizontal="left" vertical="center" wrapText="1"/>
    </xf>
    <xf numFmtId="0" fontId="68" fillId="36" borderId="13" xfId="0" applyFont="1" applyFill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wrapText="1"/>
    </xf>
    <xf numFmtId="0" fontId="8" fillId="36" borderId="19" xfId="0" applyFont="1" applyFill="1" applyBorder="1" applyAlignment="1">
      <alignment vertical="center" wrapText="1"/>
    </xf>
    <xf numFmtId="2" fontId="7" fillId="0" borderId="23" xfId="44" applyNumberFormat="1" applyFont="1" applyBorder="1" applyAlignment="1">
      <alignment horizontal="right" vertical="top" wrapText="1"/>
      <protection/>
    </xf>
    <xf numFmtId="2" fontId="6" fillId="36" borderId="36" xfId="0" applyNumberFormat="1" applyFont="1" applyFill="1" applyBorder="1" applyAlignment="1">
      <alignment horizontal="right"/>
    </xf>
    <xf numFmtId="2" fontId="62" fillId="36" borderId="23" xfId="0" applyNumberFormat="1" applyFont="1" applyFill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2" fontId="8" fillId="36" borderId="53" xfId="0" applyNumberFormat="1" applyFont="1" applyFill="1" applyBorder="1" applyAlignment="1">
      <alignment horizontal="right" vertical="center" wrapText="1"/>
    </xf>
    <xf numFmtId="2" fontId="62" fillId="0" borderId="17" xfId="0" applyNumberFormat="1" applyFont="1" applyBorder="1" applyAlignment="1">
      <alignment/>
    </xf>
    <xf numFmtId="2" fontId="62" fillId="0" borderId="18" xfId="0" applyNumberFormat="1" applyFont="1" applyBorder="1" applyAlignment="1">
      <alignment horizontal="right"/>
    </xf>
    <xf numFmtId="2" fontId="62" fillId="0" borderId="17" xfId="0" applyNumberFormat="1" applyFont="1" applyBorder="1" applyAlignment="1">
      <alignment horizontal="right"/>
    </xf>
    <xf numFmtId="2" fontId="62" fillId="0" borderId="18" xfId="0" applyNumberFormat="1" applyFont="1" applyBorder="1" applyAlignment="1">
      <alignment/>
    </xf>
    <xf numFmtId="2" fontId="62" fillId="0" borderId="54" xfId="0" applyNumberFormat="1" applyFont="1" applyBorder="1" applyAlignment="1">
      <alignment horizontal="right"/>
    </xf>
    <xf numFmtId="0" fontId="68" fillId="0" borderId="13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5" fillId="33" borderId="17" xfId="0" applyFont="1" applyFill="1" applyBorder="1" applyAlignment="1">
      <alignment wrapText="1"/>
    </xf>
    <xf numFmtId="0" fontId="65" fillId="33" borderId="18" xfId="0" applyFont="1" applyFill="1" applyBorder="1" applyAlignment="1">
      <alignment wrapText="1"/>
    </xf>
    <xf numFmtId="0" fontId="65" fillId="33" borderId="54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54" xfId="0" applyFill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54" xfId="0" applyFont="1" applyFill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view="pageBreakPreview" zoomScaleSheetLayoutView="100" zoomScalePageLayoutView="0" workbookViewId="0" topLeftCell="A319">
      <selection activeCell="L189" sqref="L189"/>
    </sheetView>
  </sheetViews>
  <sheetFormatPr defaultColWidth="9.00390625" defaultRowHeight="12.75"/>
  <cols>
    <col min="1" max="1" width="23.625" style="0" customWidth="1"/>
    <col min="2" max="2" width="10.375" style="0" customWidth="1"/>
    <col min="3" max="3" width="10.75390625" style="0" customWidth="1"/>
    <col min="4" max="4" width="7.25390625" style="0" customWidth="1"/>
    <col min="5" max="5" width="10.25390625" style="0" customWidth="1"/>
    <col min="6" max="6" width="9.75390625" style="0" customWidth="1"/>
    <col min="7" max="7" width="10.00390625" style="0" customWidth="1"/>
    <col min="8" max="8" width="10.125" style="0" customWidth="1"/>
    <col min="9" max="9" width="44.875" style="0" customWidth="1"/>
    <col min="10" max="10" width="10.25390625" style="0" customWidth="1"/>
    <col min="11" max="11" width="9.875" style="0" customWidth="1"/>
    <col min="12" max="12" width="9.00390625" style="0" customWidth="1"/>
  </cols>
  <sheetData>
    <row r="1" spans="1:10" ht="22.5" customHeight="1">
      <c r="A1" s="269" t="s">
        <v>39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21.75" customHeight="1">
      <c r="A2" s="270" t="s">
        <v>25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3.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5" thickBot="1">
      <c r="A4" s="255"/>
      <c r="B4" s="271" t="s">
        <v>23</v>
      </c>
      <c r="C4" s="272"/>
      <c r="D4" s="272"/>
      <c r="E4" s="273"/>
      <c r="F4" s="271" t="s">
        <v>26</v>
      </c>
      <c r="G4" s="272"/>
      <c r="H4" s="272"/>
      <c r="I4" s="272"/>
      <c r="J4" s="273"/>
    </row>
    <row r="5" spans="1:10" ht="13.5" thickBot="1">
      <c r="A5" s="256"/>
      <c r="B5" s="242" t="s">
        <v>0</v>
      </c>
      <c r="C5" s="261" t="s">
        <v>37</v>
      </c>
      <c r="D5" s="242" t="s">
        <v>1</v>
      </c>
      <c r="E5" s="242" t="s">
        <v>2</v>
      </c>
      <c r="F5" s="242" t="s">
        <v>3</v>
      </c>
      <c r="G5" s="242" t="s">
        <v>4</v>
      </c>
      <c r="H5" s="242" t="s">
        <v>5</v>
      </c>
      <c r="I5" s="248" t="s">
        <v>6</v>
      </c>
      <c r="J5" s="249"/>
    </row>
    <row r="6" spans="1:10" ht="36.75" customHeight="1" thickBot="1">
      <c r="A6" s="257"/>
      <c r="B6" s="247"/>
      <c r="C6" s="262"/>
      <c r="D6" s="247"/>
      <c r="E6" s="247"/>
      <c r="F6" s="247"/>
      <c r="G6" s="247"/>
      <c r="H6" s="240"/>
      <c r="I6" s="15" t="s">
        <v>7</v>
      </c>
      <c r="J6" s="15" t="s">
        <v>8</v>
      </c>
    </row>
    <row r="7" spans="1:10" ht="13.5" thickBot="1">
      <c r="A7" s="13" t="s">
        <v>40</v>
      </c>
      <c r="B7" s="250"/>
      <c r="C7" s="251"/>
      <c r="D7" s="251"/>
      <c r="E7" s="252"/>
      <c r="F7" s="8"/>
      <c r="G7" s="9"/>
      <c r="H7" s="9"/>
      <c r="I7" s="17" t="s">
        <v>67</v>
      </c>
      <c r="J7" s="73">
        <v>76183.09</v>
      </c>
    </row>
    <row r="8" spans="1:10" ht="13.5" thickBot="1">
      <c r="A8" s="242" t="s">
        <v>9</v>
      </c>
      <c r="B8" s="37">
        <f>17.66999*1807.5</f>
        <v>31938.506924999998</v>
      </c>
      <c r="C8" s="22">
        <f>E8-B8</f>
        <v>2544.5830749999986</v>
      </c>
      <c r="D8" s="38"/>
      <c r="E8" s="67">
        <v>34483.09</v>
      </c>
      <c r="F8" s="68">
        <f>B8*1</f>
        <v>31938.506924999998</v>
      </c>
      <c r="G8" s="70">
        <f>8.78*1807.5</f>
        <v>15869.849999999999</v>
      </c>
      <c r="H8" s="39">
        <f>F8-G8+C8</f>
        <v>18613.239999999998</v>
      </c>
      <c r="I8" s="71" t="s">
        <v>51</v>
      </c>
      <c r="J8" s="32">
        <f>1.15*1807.5</f>
        <v>2078.625</v>
      </c>
    </row>
    <row r="9" spans="1:10" ht="12.75">
      <c r="A9" s="240"/>
      <c r="B9" s="82"/>
      <c r="C9" s="83"/>
      <c r="D9" s="83"/>
      <c r="E9" s="83"/>
      <c r="F9" s="84"/>
      <c r="G9" s="85"/>
      <c r="H9" s="83"/>
      <c r="I9" s="94" t="s">
        <v>32</v>
      </c>
      <c r="J9" s="61">
        <f>1.21*1807.5</f>
        <v>2187.075</v>
      </c>
    </row>
    <row r="10" spans="1:10" ht="12.75">
      <c r="A10" s="240"/>
      <c r="B10" s="87"/>
      <c r="C10" s="88"/>
      <c r="D10" s="88"/>
      <c r="E10" s="88"/>
      <c r="F10" s="89"/>
      <c r="G10" s="90"/>
      <c r="H10" s="88"/>
      <c r="I10" s="94" t="s">
        <v>31</v>
      </c>
      <c r="J10" s="61">
        <f>2.62*1807.5</f>
        <v>4735.650000000001</v>
      </c>
    </row>
    <row r="11" spans="1:10" ht="24">
      <c r="A11" s="240"/>
      <c r="B11" s="89"/>
      <c r="C11" s="88"/>
      <c r="D11" s="88"/>
      <c r="E11" s="88"/>
      <c r="F11" s="89"/>
      <c r="G11" s="122" t="s">
        <v>24</v>
      </c>
      <c r="H11" s="88"/>
      <c r="I11" s="19" t="s">
        <v>35</v>
      </c>
      <c r="J11" s="80">
        <f>1500/60*10</f>
        <v>250</v>
      </c>
    </row>
    <row r="12" spans="1:10" ht="12.75" customHeight="1">
      <c r="A12" s="240"/>
      <c r="B12" s="89"/>
      <c r="C12" s="88"/>
      <c r="D12" s="88"/>
      <c r="E12" s="88"/>
      <c r="F12" s="89"/>
      <c r="G12" s="88"/>
      <c r="H12" s="88"/>
      <c r="I12" s="19" t="s">
        <v>41</v>
      </c>
      <c r="J12" s="80">
        <v>20</v>
      </c>
    </row>
    <row r="13" spans="1:10" ht="12.75" customHeight="1">
      <c r="A13" s="240"/>
      <c r="B13" s="89"/>
      <c r="C13" s="88"/>
      <c r="D13" s="88"/>
      <c r="E13" s="88"/>
      <c r="F13" s="89"/>
      <c r="G13" s="88"/>
      <c r="H13" s="88"/>
      <c r="I13" s="19" t="s">
        <v>42</v>
      </c>
      <c r="J13" s="34">
        <v>25</v>
      </c>
    </row>
    <row r="14" spans="1:10" ht="13.5" thickBot="1">
      <c r="A14" s="240"/>
      <c r="B14" s="89"/>
      <c r="C14" s="88"/>
      <c r="D14" s="88"/>
      <c r="E14" s="88"/>
      <c r="F14" s="89"/>
      <c r="G14" s="88"/>
      <c r="H14" s="88"/>
      <c r="I14" s="133" t="s">
        <v>43</v>
      </c>
      <c r="J14" s="80">
        <v>470</v>
      </c>
    </row>
    <row r="15" spans="1:10" ht="13.5" thickBot="1">
      <c r="A15" s="239" t="s">
        <v>10</v>
      </c>
      <c r="B15" s="37">
        <f>17.66999*1807.5-19.44</f>
        <v>31919.066925</v>
      </c>
      <c r="C15" s="22">
        <f>E15-B15</f>
        <v>-5066.236924999997</v>
      </c>
      <c r="D15" s="38"/>
      <c r="E15" s="69">
        <v>26852.83</v>
      </c>
      <c r="F15" s="44">
        <f>B15*1</f>
        <v>31919.066925</v>
      </c>
      <c r="G15" s="70">
        <f>8.78*1807.5</f>
        <v>15869.849999999999</v>
      </c>
      <c r="H15" s="22">
        <f>F15-G15+C15</f>
        <v>10982.980000000003</v>
      </c>
      <c r="I15" s="72" t="s">
        <v>51</v>
      </c>
      <c r="J15" s="32">
        <f>1.15*1807.5</f>
        <v>2078.625</v>
      </c>
    </row>
    <row r="16" spans="1:10" ht="12.75">
      <c r="A16" s="240"/>
      <c r="B16" s="82"/>
      <c r="C16" s="83"/>
      <c r="D16" s="83"/>
      <c r="E16" s="83"/>
      <c r="F16" s="84"/>
      <c r="G16" s="85"/>
      <c r="H16" s="86"/>
      <c r="I16" s="35" t="s">
        <v>32</v>
      </c>
      <c r="J16" s="61">
        <f>1.21*1807.5</f>
        <v>2187.075</v>
      </c>
    </row>
    <row r="17" spans="1:10" ht="13.5" thickBot="1">
      <c r="A17" s="240"/>
      <c r="B17" s="87"/>
      <c r="C17" s="88"/>
      <c r="D17" s="88"/>
      <c r="E17" s="88"/>
      <c r="F17" s="89"/>
      <c r="G17" s="90"/>
      <c r="H17" s="91"/>
      <c r="I17" s="35" t="s">
        <v>31</v>
      </c>
      <c r="J17" s="61">
        <f>2.62*1807.5</f>
        <v>4735.650000000001</v>
      </c>
    </row>
    <row r="18" spans="1:10" ht="13.5" thickBot="1">
      <c r="A18" s="239" t="s">
        <v>11</v>
      </c>
      <c r="B18" s="37">
        <f>17.66999*1807.5-19.44</f>
        <v>31919.066925</v>
      </c>
      <c r="C18" s="22">
        <f>E18-B18</f>
        <v>17948.683075</v>
      </c>
      <c r="D18" s="43"/>
      <c r="E18" s="22">
        <v>49867.75</v>
      </c>
      <c r="F18" s="44">
        <f>B18*1</f>
        <v>31919.066925</v>
      </c>
      <c r="G18" s="21">
        <f>8.78*1807.5</f>
        <v>15869.849999999999</v>
      </c>
      <c r="H18" s="22">
        <f>F18-G18+C18</f>
        <v>33997.9</v>
      </c>
      <c r="I18" s="72" t="s">
        <v>51</v>
      </c>
      <c r="J18" s="32">
        <f>1.15*1807.5</f>
        <v>2078.625</v>
      </c>
    </row>
    <row r="19" spans="1:10" ht="12.75">
      <c r="A19" s="240"/>
      <c r="B19" s="87"/>
      <c r="C19" s="88"/>
      <c r="D19" s="88"/>
      <c r="E19" s="88"/>
      <c r="F19" s="89"/>
      <c r="G19" s="90"/>
      <c r="H19" s="91"/>
      <c r="I19" s="35" t="s">
        <v>32</v>
      </c>
      <c r="J19" s="61">
        <f>1.21*1807.5</f>
        <v>2187.075</v>
      </c>
    </row>
    <row r="20" spans="1:10" ht="12.75">
      <c r="A20" s="240"/>
      <c r="B20" s="87"/>
      <c r="C20" s="88"/>
      <c r="D20" s="88"/>
      <c r="E20" s="88"/>
      <c r="F20" s="89"/>
      <c r="G20" s="90"/>
      <c r="H20" s="91"/>
      <c r="I20" s="35" t="s">
        <v>31</v>
      </c>
      <c r="J20" s="61">
        <f>2.62*1807.5</f>
        <v>4735.650000000001</v>
      </c>
    </row>
    <row r="21" spans="1:10" ht="25.5" customHeight="1">
      <c r="A21" s="240"/>
      <c r="B21" s="87"/>
      <c r="C21" s="88"/>
      <c r="D21" s="88"/>
      <c r="E21" s="88"/>
      <c r="F21" s="89"/>
      <c r="G21" s="90"/>
      <c r="H21" s="91"/>
      <c r="I21" s="66" t="s">
        <v>44</v>
      </c>
      <c r="J21" s="119">
        <f>300/50*5</f>
        <v>30</v>
      </c>
    </row>
    <row r="22" spans="1:10" ht="12.75" customHeight="1">
      <c r="A22" s="240"/>
      <c r="B22" s="87"/>
      <c r="C22" s="88"/>
      <c r="D22" s="88"/>
      <c r="E22" s="88"/>
      <c r="F22" s="89"/>
      <c r="G22" s="90"/>
      <c r="H22" s="91"/>
      <c r="I22" s="19" t="s">
        <v>45</v>
      </c>
      <c r="J22" s="100">
        <v>292</v>
      </c>
    </row>
    <row r="23" spans="1:10" ht="12.75" customHeight="1">
      <c r="A23" s="240"/>
      <c r="B23" s="95"/>
      <c r="C23" s="96"/>
      <c r="D23" s="96"/>
      <c r="E23" s="96"/>
      <c r="F23" s="98"/>
      <c r="G23" s="99"/>
      <c r="H23" s="97"/>
      <c r="I23" s="62" t="s">
        <v>46</v>
      </c>
      <c r="J23" s="100">
        <v>25</v>
      </c>
    </row>
    <row r="24" spans="1:10" ht="26.25" customHeight="1">
      <c r="A24" s="240"/>
      <c r="B24" s="95"/>
      <c r="C24" s="96"/>
      <c r="D24" s="96"/>
      <c r="E24" s="96"/>
      <c r="F24" s="98"/>
      <c r="G24" s="99"/>
      <c r="H24" s="97"/>
      <c r="I24" s="19" t="s">
        <v>47</v>
      </c>
      <c r="J24" s="112">
        <f>1500/60*140</f>
        <v>3500</v>
      </c>
    </row>
    <row r="25" spans="1:10" ht="13.5" thickBot="1">
      <c r="A25" s="240"/>
      <c r="B25" s="87"/>
      <c r="C25" s="88"/>
      <c r="D25" s="88"/>
      <c r="E25" s="88"/>
      <c r="F25" s="89"/>
      <c r="G25" s="90"/>
      <c r="H25" s="91"/>
      <c r="I25" s="35" t="s">
        <v>48</v>
      </c>
      <c r="J25" s="101">
        <v>5986</v>
      </c>
    </row>
    <row r="26" spans="1:10" ht="13.5" thickBot="1">
      <c r="A26" s="239" t="s">
        <v>12</v>
      </c>
      <c r="B26" s="37">
        <f>17.66999*1806.4</f>
        <v>31919.069936</v>
      </c>
      <c r="C26" s="22">
        <f>E26-B26</f>
        <v>-6085.909936</v>
      </c>
      <c r="D26" s="43"/>
      <c r="E26" s="69">
        <v>25833.16</v>
      </c>
      <c r="F26" s="44">
        <f>B26*1</f>
        <v>31919.069936</v>
      </c>
      <c r="G26" s="70">
        <f>8.78*1806.4</f>
        <v>15860.192</v>
      </c>
      <c r="H26" s="22">
        <f>F26-G26+C26</f>
        <v>9972.968</v>
      </c>
      <c r="I26" s="72" t="s">
        <v>51</v>
      </c>
      <c r="J26" s="32">
        <f>1.15*1806.4</f>
        <v>2077.36</v>
      </c>
    </row>
    <row r="27" spans="1:10" ht="12.75">
      <c r="A27" s="240"/>
      <c r="B27" s="82"/>
      <c r="C27" s="83"/>
      <c r="D27" s="83"/>
      <c r="E27" s="83"/>
      <c r="F27" s="84"/>
      <c r="G27" s="85"/>
      <c r="H27" s="86"/>
      <c r="I27" s="35" t="s">
        <v>32</v>
      </c>
      <c r="J27" s="61">
        <f>1.21*1806.4</f>
        <v>2185.744</v>
      </c>
    </row>
    <row r="28" spans="1:10" ht="12.75">
      <c r="A28" s="240"/>
      <c r="B28" s="121"/>
      <c r="C28" s="122"/>
      <c r="D28" s="122"/>
      <c r="E28" s="122"/>
      <c r="F28" s="124"/>
      <c r="G28" s="125"/>
      <c r="H28" s="123"/>
      <c r="I28" s="35" t="s">
        <v>31</v>
      </c>
      <c r="J28" s="61">
        <f>2.62*1806.4</f>
        <v>4732.768</v>
      </c>
    </row>
    <row r="29" spans="1:10" ht="12.75">
      <c r="A29" s="240"/>
      <c r="B29" s="121"/>
      <c r="C29" s="122"/>
      <c r="D29" s="122"/>
      <c r="E29" s="122"/>
      <c r="F29" s="124"/>
      <c r="G29" s="125"/>
      <c r="H29" s="123"/>
      <c r="I29" s="19" t="s">
        <v>49</v>
      </c>
      <c r="J29" s="77">
        <v>470</v>
      </c>
    </row>
    <row r="30" spans="1:10" ht="24">
      <c r="A30" s="240"/>
      <c r="B30" s="121"/>
      <c r="C30" s="122"/>
      <c r="D30" s="122"/>
      <c r="E30" s="122"/>
      <c r="F30" s="124"/>
      <c r="G30" s="125"/>
      <c r="H30" s="123"/>
      <c r="I30" s="35" t="s">
        <v>65</v>
      </c>
      <c r="J30" s="74">
        <v>210</v>
      </c>
    </row>
    <row r="31" spans="1:10" ht="12.75">
      <c r="A31" s="240"/>
      <c r="B31" s="121"/>
      <c r="C31" s="122"/>
      <c r="D31" s="122"/>
      <c r="E31" s="122"/>
      <c r="F31" s="124"/>
      <c r="G31" s="125"/>
      <c r="H31" s="123"/>
      <c r="I31" s="62" t="s">
        <v>34</v>
      </c>
      <c r="J31" s="102">
        <v>10</v>
      </c>
    </row>
    <row r="32" spans="1:10" ht="12.75" customHeight="1">
      <c r="A32" s="240"/>
      <c r="B32" s="121"/>
      <c r="C32" s="122"/>
      <c r="D32" s="122"/>
      <c r="E32" s="122"/>
      <c r="F32" s="124"/>
      <c r="G32" s="125"/>
      <c r="H32" s="123"/>
      <c r="I32" s="35" t="s">
        <v>52</v>
      </c>
      <c r="J32" s="74">
        <f>7*15</f>
        <v>105</v>
      </c>
    </row>
    <row r="33" spans="1:10" ht="18.75" customHeight="1">
      <c r="A33" s="240"/>
      <c r="B33" s="121"/>
      <c r="C33" s="122"/>
      <c r="D33" s="122"/>
      <c r="E33" s="122"/>
      <c r="F33" s="124"/>
      <c r="G33" s="125"/>
      <c r="H33" s="123"/>
      <c r="I33" s="35" t="s">
        <v>27</v>
      </c>
      <c r="J33" s="74">
        <v>450</v>
      </c>
    </row>
    <row r="34" spans="1:10" ht="23.25" customHeight="1" thickBot="1">
      <c r="A34" s="241"/>
      <c r="B34" s="137"/>
      <c r="C34" s="138"/>
      <c r="D34" s="138"/>
      <c r="E34" s="138"/>
      <c r="F34" s="137"/>
      <c r="G34" s="138"/>
      <c r="H34" s="139"/>
      <c r="I34" s="81" t="s">
        <v>50</v>
      </c>
      <c r="J34" s="78">
        <v>449</v>
      </c>
    </row>
    <row r="35" spans="1:10" ht="13.5" thickBot="1">
      <c r="A35" s="239" t="s">
        <v>13</v>
      </c>
      <c r="B35" s="37">
        <f>17.66999*1806.4</f>
        <v>31919.069936</v>
      </c>
      <c r="C35" s="22">
        <f>E35-B35</f>
        <v>-4082.7999359999994</v>
      </c>
      <c r="D35" s="38"/>
      <c r="E35" s="69">
        <v>27836.27</v>
      </c>
      <c r="F35" s="44">
        <f>B35*1</f>
        <v>31919.069936</v>
      </c>
      <c r="G35" s="70">
        <f>8.78*1806.4</f>
        <v>15860.192</v>
      </c>
      <c r="H35" s="22">
        <f>F35-G35+C35</f>
        <v>11976.078000000001</v>
      </c>
      <c r="I35" s="72" t="s">
        <v>51</v>
      </c>
      <c r="J35" s="32">
        <f>1.15*1806.4</f>
        <v>2077.36</v>
      </c>
    </row>
    <row r="36" spans="1:10" ht="12.75">
      <c r="A36" s="240"/>
      <c r="B36" s="82"/>
      <c r="C36" s="83"/>
      <c r="D36" s="83"/>
      <c r="E36" s="83"/>
      <c r="F36" s="84"/>
      <c r="G36" s="85"/>
      <c r="H36" s="86"/>
      <c r="I36" s="35" t="s">
        <v>32</v>
      </c>
      <c r="J36" s="61">
        <f>1.21*1806.4</f>
        <v>2185.744</v>
      </c>
    </row>
    <row r="37" spans="1:10" ht="13.5" thickBot="1">
      <c r="A37" s="241"/>
      <c r="B37" s="140"/>
      <c r="C37" s="138"/>
      <c r="D37" s="138"/>
      <c r="E37" s="138"/>
      <c r="F37" s="137"/>
      <c r="G37" s="141"/>
      <c r="H37" s="139"/>
      <c r="I37" s="81" t="s">
        <v>31</v>
      </c>
      <c r="J37" s="142">
        <f>2.62*1806.4</f>
        <v>4732.768</v>
      </c>
    </row>
    <row r="38" spans="1:10" ht="13.5" thickBot="1">
      <c r="A38" s="239" t="s">
        <v>14</v>
      </c>
      <c r="B38" s="37">
        <f>17.66999*1806.4</f>
        <v>31919.069936</v>
      </c>
      <c r="C38" s="22">
        <f>E38-B38</f>
        <v>337.56006400000115</v>
      </c>
      <c r="D38" s="43"/>
      <c r="E38" s="69">
        <v>32256.63</v>
      </c>
      <c r="F38" s="44">
        <f>B38*1</f>
        <v>31919.069936</v>
      </c>
      <c r="G38" s="70">
        <f>8.78*1806.4</f>
        <v>15860.192</v>
      </c>
      <c r="H38" s="22">
        <f>F38-G38+C38</f>
        <v>16396.438000000002</v>
      </c>
      <c r="I38" s="72" t="s">
        <v>51</v>
      </c>
      <c r="J38" s="32">
        <f>1.15*1806.4</f>
        <v>2077.36</v>
      </c>
    </row>
    <row r="39" spans="1:10" ht="12.75">
      <c r="A39" s="240"/>
      <c r="B39" s="82"/>
      <c r="C39" s="83"/>
      <c r="D39" s="83"/>
      <c r="E39" s="83"/>
      <c r="F39" s="84"/>
      <c r="G39" s="85"/>
      <c r="H39" s="86"/>
      <c r="I39" s="35" t="s">
        <v>32</v>
      </c>
      <c r="J39" s="61">
        <f>1.21*1806.4</f>
        <v>2185.744</v>
      </c>
    </row>
    <row r="40" spans="1:10" ht="12.75">
      <c r="A40" s="240"/>
      <c r="B40" s="87"/>
      <c r="C40" s="88"/>
      <c r="D40" s="88"/>
      <c r="E40" s="88"/>
      <c r="F40" s="89"/>
      <c r="G40" s="90"/>
      <c r="H40" s="91"/>
      <c r="I40" s="35" t="s">
        <v>31</v>
      </c>
      <c r="J40" s="61">
        <f>2.62*1806.4</f>
        <v>4732.768</v>
      </c>
    </row>
    <row r="41" spans="1:10" ht="36.75" customHeight="1">
      <c r="A41" s="240"/>
      <c r="B41" s="87"/>
      <c r="C41" s="88"/>
      <c r="D41" s="88"/>
      <c r="E41" s="88"/>
      <c r="F41" s="89"/>
      <c r="G41" s="90"/>
      <c r="H41" s="91"/>
      <c r="I41" s="19" t="s">
        <v>53</v>
      </c>
      <c r="J41" s="75">
        <v>701</v>
      </c>
    </row>
    <row r="42" spans="1:10" ht="24">
      <c r="A42" s="240"/>
      <c r="B42" s="87"/>
      <c r="C42" s="88"/>
      <c r="D42" s="88"/>
      <c r="E42" s="88"/>
      <c r="F42" s="89"/>
      <c r="G42" s="90"/>
      <c r="H42" s="91"/>
      <c r="I42" s="62" t="s">
        <v>54</v>
      </c>
      <c r="J42" s="75">
        <v>1627</v>
      </c>
    </row>
    <row r="43" spans="1:10" ht="13.5" thickBot="1">
      <c r="A43" s="240"/>
      <c r="B43" s="89"/>
      <c r="C43" s="88"/>
      <c r="D43" s="88"/>
      <c r="E43" s="88"/>
      <c r="F43" s="89"/>
      <c r="G43" s="88"/>
      <c r="H43" s="91"/>
      <c r="I43" s="62" t="s">
        <v>46</v>
      </c>
      <c r="J43" s="78">
        <v>10</v>
      </c>
    </row>
    <row r="44" spans="1:10" ht="13.5" thickBot="1">
      <c r="A44" s="239" t="s">
        <v>15</v>
      </c>
      <c r="B44" s="37">
        <f>18.71*1806.4</f>
        <v>33797.744000000006</v>
      </c>
      <c r="C44" s="22">
        <f>E44-B44</f>
        <v>-6638.874000000007</v>
      </c>
      <c r="D44" s="43"/>
      <c r="E44" s="69">
        <v>27158.87</v>
      </c>
      <c r="F44" s="44">
        <f>B44*1</f>
        <v>33797.744000000006</v>
      </c>
      <c r="G44" s="70">
        <f>(2.08+4.34+0.49+2.42)*1806.4</f>
        <v>16853.712</v>
      </c>
      <c r="H44" s="22">
        <f>F44-G44+C44</f>
        <v>10305.158</v>
      </c>
      <c r="I44" s="72" t="s">
        <v>51</v>
      </c>
      <c r="J44" s="32">
        <f>1.15*1806.4</f>
        <v>2077.36</v>
      </c>
    </row>
    <row r="45" spans="1:10" ht="12.75">
      <c r="A45" s="240"/>
      <c r="B45" s="82"/>
      <c r="C45" s="83"/>
      <c r="D45" s="83"/>
      <c r="E45" s="83"/>
      <c r="F45" s="84"/>
      <c r="G45" s="85"/>
      <c r="H45" s="86"/>
      <c r="I45" s="35" t="s">
        <v>32</v>
      </c>
      <c r="J45" s="61">
        <f>1.28*1806.4</f>
        <v>2312.192</v>
      </c>
    </row>
    <row r="46" spans="1:10" ht="12.75">
      <c r="A46" s="240"/>
      <c r="B46" s="87"/>
      <c r="C46" s="88"/>
      <c r="D46" s="88"/>
      <c r="E46" s="88"/>
      <c r="F46" s="89"/>
      <c r="G46" s="90"/>
      <c r="H46" s="91"/>
      <c r="I46" s="35" t="s">
        <v>31</v>
      </c>
      <c r="J46" s="61">
        <f>2.78*1806.4</f>
        <v>5021.7919999999995</v>
      </c>
    </row>
    <row r="47" spans="1:10" ht="12.75">
      <c r="A47" s="240"/>
      <c r="B47" s="103"/>
      <c r="C47" s="104"/>
      <c r="D47" s="104"/>
      <c r="E47" s="104"/>
      <c r="F47" s="106"/>
      <c r="G47" s="107"/>
      <c r="H47" s="105"/>
      <c r="I47" s="65" t="s">
        <v>55</v>
      </c>
      <c r="J47" s="115">
        <v>900</v>
      </c>
    </row>
    <row r="48" spans="1:10" ht="12.75">
      <c r="A48" s="240"/>
      <c r="B48" s="103"/>
      <c r="C48" s="104"/>
      <c r="D48" s="104"/>
      <c r="E48" s="104"/>
      <c r="F48" s="106"/>
      <c r="G48" s="107"/>
      <c r="H48" s="105"/>
      <c r="I48" s="35" t="s">
        <v>29</v>
      </c>
      <c r="J48" s="79">
        <v>4105</v>
      </c>
    </row>
    <row r="49" spans="1:10" ht="12.75">
      <c r="A49" s="240"/>
      <c r="B49" s="103"/>
      <c r="C49" s="116"/>
      <c r="D49" s="116"/>
      <c r="E49" s="116"/>
      <c r="F49" s="106"/>
      <c r="G49" s="107"/>
      <c r="H49" s="105"/>
      <c r="I49" s="19" t="s">
        <v>36</v>
      </c>
      <c r="J49" s="114">
        <f>1000/0.87*1.302</f>
        <v>1496.5517241379312</v>
      </c>
    </row>
    <row r="50" spans="1:10" ht="13.5" thickBot="1">
      <c r="A50" s="240"/>
      <c r="B50" s="103"/>
      <c r="C50" s="104"/>
      <c r="D50" s="104"/>
      <c r="E50" s="104"/>
      <c r="F50" s="106"/>
      <c r="G50" s="107"/>
      <c r="H50" s="105"/>
      <c r="I50" s="94" t="s">
        <v>57</v>
      </c>
      <c r="J50" s="117">
        <v>470</v>
      </c>
    </row>
    <row r="51" spans="1:10" ht="13.5" thickBot="1">
      <c r="A51" s="239" t="s">
        <v>16</v>
      </c>
      <c r="B51" s="37">
        <f>18.71*1806.4</f>
        <v>33797.744000000006</v>
      </c>
      <c r="C51" s="22">
        <f>E51-B51</f>
        <v>587.1859999999942</v>
      </c>
      <c r="D51" s="43"/>
      <c r="E51" s="108">
        <v>34384.93</v>
      </c>
      <c r="F51" s="44">
        <f>B51*1</f>
        <v>33797.744000000006</v>
      </c>
      <c r="G51" s="70">
        <f>(2.08+4.34+0.49+2.42)*1806.4</f>
        <v>16853.712</v>
      </c>
      <c r="H51" s="22">
        <f>F51-G51+C51</f>
        <v>17531.218</v>
      </c>
      <c r="I51" s="72" t="s">
        <v>51</v>
      </c>
      <c r="J51" s="32">
        <f>1.15*1806.4</f>
        <v>2077.36</v>
      </c>
    </row>
    <row r="52" spans="1:10" ht="12.75">
      <c r="A52" s="240"/>
      <c r="B52" s="82"/>
      <c r="C52" s="83"/>
      <c r="D52" s="83"/>
      <c r="E52" s="86"/>
      <c r="F52" s="84"/>
      <c r="G52" s="85"/>
      <c r="H52" s="86"/>
      <c r="I52" s="35" t="s">
        <v>32</v>
      </c>
      <c r="J52" s="61">
        <f>1.28*1806.4</f>
        <v>2312.192</v>
      </c>
    </row>
    <row r="53" spans="1:10" ht="12.75">
      <c r="A53" s="240"/>
      <c r="B53" s="87"/>
      <c r="C53" s="88"/>
      <c r="D53" s="88"/>
      <c r="E53" s="91"/>
      <c r="F53" s="89"/>
      <c r="G53" s="90"/>
      <c r="H53" s="91"/>
      <c r="I53" s="35" t="s">
        <v>31</v>
      </c>
      <c r="J53" s="61">
        <f>2.78*1806.4</f>
        <v>5021.7919999999995</v>
      </c>
    </row>
    <row r="54" spans="1:10" ht="48.75" thickBot="1">
      <c r="A54" s="240"/>
      <c r="B54" s="87"/>
      <c r="C54" s="88"/>
      <c r="D54" s="88"/>
      <c r="E54" s="91"/>
      <c r="F54" s="89"/>
      <c r="G54" s="90"/>
      <c r="H54" s="91"/>
      <c r="I54" s="35" t="s">
        <v>56</v>
      </c>
      <c r="J54" s="115">
        <v>4839</v>
      </c>
    </row>
    <row r="55" spans="1:10" ht="13.5" thickBot="1">
      <c r="A55" s="239" t="s">
        <v>17</v>
      </c>
      <c r="B55" s="109">
        <f>18.71*1806.4</f>
        <v>33797.744000000006</v>
      </c>
      <c r="C55" s="110">
        <f>E55-B55</f>
        <v>-4080.3040000000074</v>
      </c>
      <c r="D55" s="135"/>
      <c r="E55" s="136">
        <v>29717.44</v>
      </c>
      <c r="F55" s="111">
        <f>B55*1</f>
        <v>33797.744000000006</v>
      </c>
      <c r="G55" s="70">
        <f>(2.08+4.34+0.49+2.42)*1806.4</f>
        <v>16853.712</v>
      </c>
      <c r="H55" s="67">
        <f>F55-G55+C55</f>
        <v>12863.728</v>
      </c>
      <c r="I55" s="72" t="s">
        <v>51</v>
      </c>
      <c r="J55" s="32">
        <f>1.15*1806.4</f>
        <v>2077.36</v>
      </c>
    </row>
    <row r="56" spans="1:10" ht="12.75">
      <c r="A56" s="240"/>
      <c r="B56" s="82"/>
      <c r="C56" s="83"/>
      <c r="D56" s="83"/>
      <c r="E56" s="86"/>
      <c r="F56" s="84"/>
      <c r="G56" s="85"/>
      <c r="H56" s="86"/>
      <c r="I56" s="35" t="s">
        <v>32</v>
      </c>
      <c r="J56" s="61">
        <f>1.28*1806.4</f>
        <v>2312.192</v>
      </c>
    </row>
    <row r="57" spans="1:10" ht="12.75">
      <c r="A57" s="240"/>
      <c r="B57" s="103"/>
      <c r="C57" s="116"/>
      <c r="D57" s="116"/>
      <c r="E57" s="105"/>
      <c r="F57" s="106"/>
      <c r="G57" s="107"/>
      <c r="H57" s="105"/>
      <c r="I57" s="35" t="s">
        <v>31</v>
      </c>
      <c r="J57" s="61">
        <f>2.78*1806.4</f>
        <v>5021.7919999999995</v>
      </c>
    </row>
    <row r="58" spans="1:10" ht="24" customHeight="1">
      <c r="A58" s="240"/>
      <c r="B58" s="103"/>
      <c r="C58" s="116"/>
      <c r="D58" s="116"/>
      <c r="E58" s="105"/>
      <c r="F58" s="106"/>
      <c r="G58" s="107"/>
      <c r="H58" s="105"/>
      <c r="I58" s="59" t="s">
        <v>58</v>
      </c>
      <c r="J58" s="118">
        <v>320</v>
      </c>
    </row>
    <row r="59" spans="1:10" ht="26.25" customHeight="1" thickBot="1">
      <c r="A59" s="240"/>
      <c r="B59" s="87"/>
      <c r="C59" s="88"/>
      <c r="D59" s="88"/>
      <c r="E59" s="91"/>
      <c r="F59" s="89"/>
      <c r="G59" s="90"/>
      <c r="H59" s="91"/>
      <c r="I59" s="19" t="s">
        <v>59</v>
      </c>
      <c r="J59" s="115">
        <v>957</v>
      </c>
    </row>
    <row r="60" spans="1:10" ht="13.5" thickBot="1">
      <c r="A60" s="239" t="s">
        <v>18</v>
      </c>
      <c r="B60" s="109">
        <f>18.71*1806.4</f>
        <v>33797.744000000006</v>
      </c>
      <c r="C60" s="22">
        <f>E60-B60</f>
        <v>-1339.3440000000046</v>
      </c>
      <c r="D60" s="43"/>
      <c r="E60" s="22">
        <v>32458.4</v>
      </c>
      <c r="F60" s="44">
        <f>B60*1</f>
        <v>33797.744000000006</v>
      </c>
      <c r="G60" s="70">
        <f>(2.08+4.34+0.49+2.42)*1806.4</f>
        <v>16853.712</v>
      </c>
      <c r="H60" s="22">
        <f>F60-G60+C60</f>
        <v>15604.688000000002</v>
      </c>
      <c r="I60" s="72" t="s">
        <v>51</v>
      </c>
      <c r="J60" s="32">
        <f>1.15*1806.4</f>
        <v>2077.36</v>
      </c>
    </row>
    <row r="61" spans="1:10" ht="12.75">
      <c r="A61" s="240"/>
      <c r="B61" s="82"/>
      <c r="C61" s="28"/>
      <c r="D61" s="28"/>
      <c r="E61" s="29"/>
      <c r="F61" s="40"/>
      <c r="G61" s="85"/>
      <c r="H61" s="86"/>
      <c r="I61" s="35" t="s">
        <v>32</v>
      </c>
      <c r="J61" s="61">
        <f>1.28*1806.4</f>
        <v>2312.192</v>
      </c>
    </row>
    <row r="62" spans="1:10" ht="12.75">
      <c r="A62" s="240"/>
      <c r="B62" s="103"/>
      <c r="C62" s="23"/>
      <c r="D62" s="23"/>
      <c r="E62" s="24"/>
      <c r="F62" s="41"/>
      <c r="G62" s="107"/>
      <c r="H62" s="105"/>
      <c r="I62" s="35" t="s">
        <v>31</v>
      </c>
      <c r="J62" s="61">
        <f>2.78*1806.4</f>
        <v>5021.7919999999995</v>
      </c>
    </row>
    <row r="63" spans="1:10" ht="24">
      <c r="A63" s="240"/>
      <c r="B63" s="103"/>
      <c r="C63" s="23"/>
      <c r="D63" s="23"/>
      <c r="E63" s="24"/>
      <c r="F63" s="41"/>
      <c r="G63" s="107"/>
      <c r="H63" s="105"/>
      <c r="I63" s="20" t="s">
        <v>60</v>
      </c>
      <c r="J63" s="115">
        <v>4879.5</v>
      </c>
    </row>
    <row r="64" spans="1:10" ht="14.25" customHeight="1" thickBot="1">
      <c r="A64" s="240"/>
      <c r="B64" s="103"/>
      <c r="C64" s="23"/>
      <c r="D64" s="23"/>
      <c r="E64" s="24"/>
      <c r="F64" s="41"/>
      <c r="G64" s="107"/>
      <c r="H64" s="105"/>
      <c r="I64" s="126" t="s">
        <v>61</v>
      </c>
      <c r="J64" s="119">
        <f>51120/2</f>
        <v>25560</v>
      </c>
    </row>
    <row r="65" spans="1:10" ht="13.5" thickBot="1">
      <c r="A65" s="239" t="s">
        <v>19</v>
      </c>
      <c r="B65" s="109">
        <f>18.71*1806.4</f>
        <v>33797.744000000006</v>
      </c>
      <c r="C65" s="22">
        <f>E65-B65</f>
        <v>1220.255999999994</v>
      </c>
      <c r="D65" s="57"/>
      <c r="E65" s="22">
        <v>35018</v>
      </c>
      <c r="F65" s="127">
        <f>B65*1</f>
        <v>33797.744000000006</v>
      </c>
      <c r="G65" s="21">
        <f>(2.08+4.34+0.49+2.42)*1806.4</f>
        <v>16853.712</v>
      </c>
      <c r="H65" s="128">
        <f>F65-G65+C65</f>
        <v>18164.288</v>
      </c>
      <c r="I65" s="72" t="s">
        <v>51</v>
      </c>
      <c r="J65" s="32">
        <f>1.15*1806.4</f>
        <v>2077.36</v>
      </c>
    </row>
    <row r="66" spans="1:10" ht="12.75">
      <c r="A66" s="240"/>
      <c r="B66" s="121"/>
      <c r="C66" s="122"/>
      <c r="D66" s="92"/>
      <c r="E66" s="123"/>
      <c r="F66" s="124"/>
      <c r="G66" s="125"/>
      <c r="H66" s="123"/>
      <c r="I66" s="35" t="s">
        <v>32</v>
      </c>
      <c r="J66" s="61">
        <f>1.28*1806.4</f>
        <v>2312.192</v>
      </c>
    </row>
    <row r="67" spans="1:10" ht="12.75">
      <c r="A67" s="240"/>
      <c r="B67" s="121"/>
      <c r="C67" s="122"/>
      <c r="D67" s="92"/>
      <c r="E67" s="123"/>
      <c r="F67" s="124"/>
      <c r="G67" s="125"/>
      <c r="H67" s="123"/>
      <c r="I67" s="35" t="s">
        <v>31</v>
      </c>
      <c r="J67" s="61">
        <f>2.78*1806.4</f>
        <v>5021.7919999999995</v>
      </c>
    </row>
    <row r="68" spans="1:10" ht="24">
      <c r="A68" s="240"/>
      <c r="B68" s="121"/>
      <c r="C68" s="122"/>
      <c r="D68" s="92"/>
      <c r="E68" s="123"/>
      <c r="F68" s="124"/>
      <c r="G68" s="125"/>
      <c r="H68" s="123"/>
      <c r="I68" s="59" t="s">
        <v>30</v>
      </c>
      <c r="J68" s="113">
        <v>1983</v>
      </c>
    </row>
    <row r="69" spans="1:10" ht="12" customHeight="1">
      <c r="A69" s="240"/>
      <c r="B69" s="121"/>
      <c r="C69" s="122"/>
      <c r="D69" s="92"/>
      <c r="E69" s="123"/>
      <c r="F69" s="124"/>
      <c r="G69" s="125"/>
      <c r="H69" s="123"/>
      <c r="I69" s="120" t="s">
        <v>66</v>
      </c>
      <c r="J69" s="112">
        <v>1799</v>
      </c>
    </row>
    <row r="70" spans="1:10" ht="13.5" thickBot="1">
      <c r="A70" s="241"/>
      <c r="B70" s="137"/>
      <c r="C70" s="138"/>
      <c r="D70" s="138"/>
      <c r="E70" s="139"/>
      <c r="F70" s="137"/>
      <c r="G70" s="138"/>
      <c r="H70" s="139"/>
      <c r="I70" s="64" t="s">
        <v>62</v>
      </c>
      <c r="J70" s="36">
        <v>748</v>
      </c>
    </row>
    <row r="71" spans="1:10" ht="13.5" thickBot="1">
      <c r="A71" s="242" t="s">
        <v>20</v>
      </c>
      <c r="B71" s="109">
        <f>18.71*1806.4</f>
        <v>33797.744000000006</v>
      </c>
      <c r="C71" s="22">
        <f>E71-B71</f>
        <v>1190.5659999999916</v>
      </c>
      <c r="D71" s="45"/>
      <c r="E71" s="22">
        <v>34988.31</v>
      </c>
      <c r="F71" s="44">
        <f>B71*1</f>
        <v>33797.744000000006</v>
      </c>
      <c r="G71" s="70">
        <f>(2.08+4.34+0.49+2.42)*1806.4</f>
        <v>16853.712</v>
      </c>
      <c r="H71" s="22">
        <f>F71-G71+C71</f>
        <v>18134.597999999998</v>
      </c>
      <c r="I71" s="71" t="s">
        <v>51</v>
      </c>
      <c r="J71" s="32">
        <f>1.15*1806.4</f>
        <v>2077.36</v>
      </c>
    </row>
    <row r="72" spans="1:10" ht="12.75">
      <c r="A72" s="243"/>
      <c r="B72" s="82"/>
      <c r="C72" s="83"/>
      <c r="D72" s="93"/>
      <c r="E72" s="86"/>
      <c r="F72" s="84"/>
      <c r="G72" s="85"/>
      <c r="H72" s="86"/>
      <c r="I72" s="94" t="s">
        <v>32</v>
      </c>
      <c r="J72" s="61">
        <f>1.28*1806.4</f>
        <v>2312.192</v>
      </c>
    </row>
    <row r="73" spans="1:10" ht="12.75">
      <c r="A73" s="243"/>
      <c r="B73" s="121"/>
      <c r="C73" s="122"/>
      <c r="D73" s="92"/>
      <c r="E73" s="123"/>
      <c r="F73" s="124"/>
      <c r="G73" s="125"/>
      <c r="H73" s="123"/>
      <c r="I73" s="94" t="s">
        <v>31</v>
      </c>
      <c r="J73" s="61">
        <f>2.78*1806.4</f>
        <v>5021.7919999999995</v>
      </c>
    </row>
    <row r="74" spans="1:10" ht="12.75">
      <c r="A74" s="5"/>
      <c r="B74" s="121"/>
      <c r="C74" s="122"/>
      <c r="D74" s="92"/>
      <c r="E74" s="123"/>
      <c r="F74" s="124"/>
      <c r="G74" s="125"/>
      <c r="H74" s="123"/>
      <c r="I74" s="94" t="s">
        <v>63</v>
      </c>
      <c r="J74" s="77">
        <v>50</v>
      </c>
    </row>
    <row r="75" spans="1:10" ht="12.75">
      <c r="A75" s="5"/>
      <c r="B75" s="121"/>
      <c r="C75" s="122"/>
      <c r="D75" s="92"/>
      <c r="E75" s="123"/>
      <c r="F75" s="124"/>
      <c r="G75" s="125"/>
      <c r="H75" s="123"/>
      <c r="I75" s="19" t="s">
        <v>64</v>
      </c>
      <c r="J75" s="74">
        <v>13000</v>
      </c>
    </row>
    <row r="76" spans="1:10" ht="24.75" thickBot="1">
      <c r="A76" s="14"/>
      <c r="B76" s="143"/>
      <c r="C76" s="144"/>
      <c r="D76" s="144"/>
      <c r="E76" s="145"/>
      <c r="F76" s="137"/>
      <c r="G76" s="138"/>
      <c r="H76" s="139"/>
      <c r="I76" s="133" t="s">
        <v>33</v>
      </c>
      <c r="J76" s="134">
        <f>1700/60*20</f>
        <v>566.6666666666666</v>
      </c>
    </row>
    <row r="77" spans="1:10" ht="13.5" thickBot="1">
      <c r="A77" s="6" t="s">
        <v>21</v>
      </c>
      <c r="B77" s="51">
        <f>SUM(B8:B71)</f>
        <v>394320.314583</v>
      </c>
      <c r="C77" s="52">
        <f>SUM(C8:C71)</f>
        <v>-3464.6345830000355</v>
      </c>
      <c r="D77" s="52"/>
      <c r="E77" s="53">
        <f>SUM(E8:E76)</f>
        <v>390855.68</v>
      </c>
      <c r="F77" s="54">
        <f>SUM(F8:F71)</f>
        <v>394320.314583</v>
      </c>
      <c r="G77" s="54">
        <f>SUM(G8:G71)</f>
        <v>196312.398</v>
      </c>
      <c r="H77" s="55">
        <f>SUM(H8:H71)</f>
        <v>194543.28199999998</v>
      </c>
      <c r="I77" s="131"/>
      <c r="J77" s="132"/>
    </row>
    <row r="78" spans="1:10" ht="13.5" thickBot="1">
      <c r="A78" s="5"/>
      <c r="B78" s="47"/>
      <c r="C78" s="48"/>
      <c r="D78" s="48"/>
      <c r="E78" s="49"/>
      <c r="F78" s="50"/>
      <c r="G78" s="50"/>
      <c r="H78" s="50"/>
      <c r="I78" s="129" t="s">
        <v>22</v>
      </c>
      <c r="J78" s="130">
        <f>SUM(J8:J76)</f>
        <v>186763.44839080455</v>
      </c>
    </row>
    <row r="79" spans="1:10" ht="13.5" thickBot="1">
      <c r="A79" s="4"/>
      <c r="B79" s="1"/>
      <c r="C79" s="2"/>
      <c r="D79" s="2"/>
      <c r="E79" s="3"/>
      <c r="F79" s="263"/>
      <c r="G79" s="264"/>
      <c r="H79" s="264"/>
      <c r="I79" s="265"/>
      <c r="J79" s="10"/>
    </row>
    <row r="80" spans="9:10" ht="13.5" thickBot="1">
      <c r="I80" s="11" t="s">
        <v>38</v>
      </c>
      <c r="J80" s="16">
        <f>H77+J7-J78</f>
        <v>83962.92360919542</v>
      </c>
    </row>
    <row r="114" ht="12.75">
      <c r="M114" t="s">
        <v>103</v>
      </c>
    </row>
    <row r="115" spans="1:10" ht="22.5" customHeight="1">
      <c r="A115" s="253" t="s">
        <v>69</v>
      </c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1:10" ht="24" customHeight="1">
      <c r="A116" s="254" t="s">
        <v>25</v>
      </c>
      <c r="B116" s="254"/>
      <c r="C116" s="254"/>
      <c r="D116" s="254"/>
      <c r="E116" s="254"/>
      <c r="F116" s="254"/>
      <c r="G116" s="254"/>
      <c r="H116" s="254"/>
      <c r="I116" s="254"/>
      <c r="J116" s="254"/>
    </row>
    <row r="117" spans="1:10" ht="9" customHeight="1" thickBo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9.5" customHeight="1" thickBot="1">
      <c r="A118" s="255"/>
      <c r="B118" s="266" t="s">
        <v>23</v>
      </c>
      <c r="C118" s="267"/>
      <c r="D118" s="267"/>
      <c r="E118" s="268"/>
      <c r="F118" s="266" t="s">
        <v>26</v>
      </c>
      <c r="G118" s="267"/>
      <c r="H118" s="267"/>
      <c r="I118" s="267"/>
      <c r="J118" s="268"/>
    </row>
    <row r="119" spans="1:10" ht="13.5" thickBot="1">
      <c r="A119" s="256"/>
      <c r="B119" s="242" t="s">
        <v>0</v>
      </c>
      <c r="C119" s="261" t="s">
        <v>37</v>
      </c>
      <c r="D119" s="242" t="s">
        <v>1</v>
      </c>
      <c r="E119" s="242" t="s">
        <v>2</v>
      </c>
      <c r="F119" s="242" t="s">
        <v>3</v>
      </c>
      <c r="G119" s="242" t="s">
        <v>4</v>
      </c>
      <c r="H119" s="242" t="s">
        <v>5</v>
      </c>
      <c r="I119" s="248" t="s">
        <v>6</v>
      </c>
      <c r="J119" s="249"/>
    </row>
    <row r="120" spans="1:10" ht="39.75" customHeight="1" thickBot="1">
      <c r="A120" s="257"/>
      <c r="B120" s="247"/>
      <c r="C120" s="262"/>
      <c r="D120" s="247"/>
      <c r="E120" s="247"/>
      <c r="F120" s="247"/>
      <c r="G120" s="247"/>
      <c r="H120" s="240"/>
      <c r="I120" s="15" t="s">
        <v>7</v>
      </c>
      <c r="J120" s="15" t="s">
        <v>8</v>
      </c>
    </row>
    <row r="121" spans="1:10" ht="22.5" customHeight="1" thickBot="1">
      <c r="A121" s="164" t="s">
        <v>70</v>
      </c>
      <c r="B121" s="250"/>
      <c r="C121" s="251"/>
      <c r="D121" s="251"/>
      <c r="E121" s="252"/>
      <c r="F121" s="8"/>
      <c r="G121" s="9"/>
      <c r="H121" s="9"/>
      <c r="I121" s="165" t="s">
        <v>71</v>
      </c>
      <c r="J121" s="166">
        <f>J80</f>
        <v>83962.92360919542</v>
      </c>
    </row>
    <row r="122" spans="1:10" ht="13.5" thickBot="1">
      <c r="A122" s="242" t="s">
        <v>9</v>
      </c>
      <c r="B122" s="109">
        <f>18.71*1806.4</f>
        <v>33797.744000000006</v>
      </c>
      <c r="C122" s="22">
        <f>E122-B122</f>
        <v>-2325.5940000000046</v>
      </c>
      <c r="D122" s="38"/>
      <c r="E122" s="67">
        <v>31472.15</v>
      </c>
      <c r="F122" s="68">
        <f>B122*1</f>
        <v>33797.744000000006</v>
      </c>
      <c r="G122" s="70">
        <f>(2.08+4.34+0.49+2.42)*1806.4</f>
        <v>16853.712</v>
      </c>
      <c r="H122" s="39">
        <f>F122-G122+C122</f>
        <v>14618.438000000002</v>
      </c>
      <c r="I122" s="153" t="s">
        <v>31</v>
      </c>
      <c r="J122" s="150">
        <f>2.78*1806.4+0.99*1806.4</f>
        <v>6810.128</v>
      </c>
    </row>
    <row r="123" spans="1:10" ht="13.5" thickBot="1">
      <c r="A123" s="240"/>
      <c r="B123" s="82"/>
      <c r="C123" s="83"/>
      <c r="D123" s="83"/>
      <c r="E123" s="83"/>
      <c r="F123" s="84"/>
      <c r="G123" s="85"/>
      <c r="H123" s="83"/>
      <c r="I123" s="31" t="s">
        <v>72</v>
      </c>
      <c r="J123" s="151">
        <f>1.28*1806.4</f>
        <v>2312.192</v>
      </c>
    </row>
    <row r="124" spans="1:10" ht="13.5" thickBot="1">
      <c r="A124" s="239" t="s">
        <v>10</v>
      </c>
      <c r="B124" s="109">
        <f>18.71*1806.4</f>
        <v>33797.744000000006</v>
      </c>
      <c r="C124" s="22">
        <f>E124-B124</f>
        <v>-2547.084000000006</v>
      </c>
      <c r="D124" s="38"/>
      <c r="E124" s="69">
        <v>31250.66</v>
      </c>
      <c r="F124" s="44">
        <f>B124*1</f>
        <v>33797.744000000006</v>
      </c>
      <c r="G124" s="70">
        <f>(2.08+4.34+0.49+2.42)*1806.4</f>
        <v>16853.712</v>
      </c>
      <c r="H124" s="22">
        <f>F124-G124+C124</f>
        <v>14396.948</v>
      </c>
      <c r="I124" s="149" t="s">
        <v>31</v>
      </c>
      <c r="J124" s="150">
        <f>2.78*1806.4+0.99*1806.4</f>
        <v>6810.128</v>
      </c>
    </row>
    <row r="125" spans="1:10" ht="12.75">
      <c r="A125" s="240"/>
      <c r="B125" s="82"/>
      <c r="C125" s="83"/>
      <c r="D125" s="83"/>
      <c r="E125" s="83"/>
      <c r="F125" s="84"/>
      <c r="G125" s="85"/>
      <c r="H125" s="86"/>
      <c r="I125" s="94" t="s">
        <v>72</v>
      </c>
      <c r="J125" s="151">
        <f>1.28*1806.4</f>
        <v>2312.192</v>
      </c>
    </row>
    <row r="126" spans="1:10" ht="13.5" customHeight="1">
      <c r="A126" s="240"/>
      <c r="B126" s="121"/>
      <c r="C126" s="122"/>
      <c r="D126" s="122"/>
      <c r="E126" s="122"/>
      <c r="F126" s="124"/>
      <c r="G126" s="125"/>
      <c r="H126" s="123"/>
      <c r="I126" s="19" t="s">
        <v>73</v>
      </c>
      <c r="J126" s="154">
        <v>244</v>
      </c>
    </row>
    <row r="127" spans="1:10" ht="13.5" thickBot="1">
      <c r="A127" s="240"/>
      <c r="B127" s="121"/>
      <c r="C127" s="122"/>
      <c r="D127" s="122"/>
      <c r="E127" s="122"/>
      <c r="F127" s="124"/>
      <c r="G127" s="125"/>
      <c r="H127" s="123"/>
      <c r="I127" s="20" t="s">
        <v>74</v>
      </c>
      <c r="J127" s="74">
        <v>10</v>
      </c>
    </row>
    <row r="128" spans="1:10" ht="13.5" thickBot="1">
      <c r="A128" s="239" t="s">
        <v>11</v>
      </c>
      <c r="B128" s="109">
        <f>18.71*1806.4</f>
        <v>33797.744000000006</v>
      </c>
      <c r="C128" s="22">
        <f>E128-B128</f>
        <v>831.1759999999922</v>
      </c>
      <c r="D128" s="43"/>
      <c r="E128" s="22">
        <v>34628.92</v>
      </c>
      <c r="F128" s="44">
        <f>B128*1</f>
        <v>33797.744000000006</v>
      </c>
      <c r="G128" s="21">
        <f>(2.08+4.34+0.49+2.42)*1806.4</f>
        <v>16853.712</v>
      </c>
      <c r="H128" s="22">
        <f>F128-G128+C128</f>
        <v>17775.208</v>
      </c>
      <c r="I128" s="153" t="s">
        <v>31</v>
      </c>
      <c r="J128" s="150">
        <f>2.78*1806.4+0.99*1806.4</f>
        <v>6810.128</v>
      </c>
    </row>
    <row r="129" spans="1:10" ht="12.75">
      <c r="A129" s="240"/>
      <c r="B129" s="121"/>
      <c r="C129" s="122"/>
      <c r="D129" s="122"/>
      <c r="E129" s="122"/>
      <c r="F129" s="124"/>
      <c r="G129" s="125"/>
      <c r="H129" s="123"/>
      <c r="I129" s="94" t="s">
        <v>72</v>
      </c>
      <c r="J129" s="151">
        <f>1.28*1806.4</f>
        <v>2312.192</v>
      </c>
    </row>
    <row r="130" spans="1:10" ht="12.75">
      <c r="A130" s="240"/>
      <c r="B130" s="121"/>
      <c r="C130" s="122"/>
      <c r="D130" s="122"/>
      <c r="E130" s="122"/>
      <c r="F130" s="124"/>
      <c r="G130" s="125"/>
      <c r="H130" s="123"/>
      <c r="I130" s="19" t="s">
        <v>74</v>
      </c>
      <c r="J130" s="74">
        <v>10</v>
      </c>
    </row>
    <row r="131" spans="1:10" ht="12.75">
      <c r="A131" s="240"/>
      <c r="B131" s="121"/>
      <c r="C131" s="122"/>
      <c r="D131" s="122"/>
      <c r="E131" s="122"/>
      <c r="F131" s="124"/>
      <c r="G131" s="125"/>
      <c r="H131" s="123"/>
      <c r="I131" s="19" t="s">
        <v>48</v>
      </c>
      <c r="J131" s="119">
        <v>5100</v>
      </c>
    </row>
    <row r="132" spans="1:10" ht="24.75" thickBot="1">
      <c r="A132" s="240"/>
      <c r="B132" s="121"/>
      <c r="C132" s="122"/>
      <c r="D132" s="122"/>
      <c r="E132" s="122"/>
      <c r="F132" s="124"/>
      <c r="G132" s="125"/>
      <c r="H132" s="123"/>
      <c r="I132" s="133" t="s">
        <v>75</v>
      </c>
      <c r="J132" s="58">
        <v>8075</v>
      </c>
    </row>
    <row r="133" spans="1:10" ht="13.5" thickBot="1">
      <c r="A133" s="239" t="s">
        <v>12</v>
      </c>
      <c r="B133" s="109">
        <f>18.71*1806.4</f>
        <v>33797.744000000006</v>
      </c>
      <c r="C133" s="22">
        <f>E133-B133</f>
        <v>1710.265999999996</v>
      </c>
      <c r="D133" s="43"/>
      <c r="E133" s="69">
        <v>35508.01</v>
      </c>
      <c r="F133" s="44">
        <f>B133*1</f>
        <v>33797.744000000006</v>
      </c>
      <c r="G133" s="70">
        <f>(2.08+4.34+0.49+2.42)*1806.4</f>
        <v>16853.712</v>
      </c>
      <c r="H133" s="22">
        <f>F133-G133+C133</f>
        <v>18654.298000000003</v>
      </c>
      <c r="I133" s="153" t="s">
        <v>31</v>
      </c>
      <c r="J133" s="150">
        <f>2.78*1806.4+0.99*1806.4</f>
        <v>6810.128</v>
      </c>
    </row>
    <row r="134" spans="1:10" ht="12.75">
      <c r="A134" s="240"/>
      <c r="B134" s="82"/>
      <c r="C134" s="83"/>
      <c r="D134" s="83"/>
      <c r="E134" s="83"/>
      <c r="F134" s="84"/>
      <c r="G134" s="85"/>
      <c r="H134" s="86"/>
      <c r="I134" s="94" t="s">
        <v>72</v>
      </c>
      <c r="J134" s="151">
        <f>1.28*1806.4</f>
        <v>2312.192</v>
      </c>
    </row>
    <row r="135" spans="1:10" ht="12.75">
      <c r="A135" s="240"/>
      <c r="B135" s="121"/>
      <c r="C135" s="122"/>
      <c r="D135" s="122"/>
      <c r="E135" s="122"/>
      <c r="F135" s="124"/>
      <c r="G135" s="125"/>
      <c r="H135" s="123"/>
      <c r="I135" s="76" t="s">
        <v>76</v>
      </c>
      <c r="J135" s="74">
        <v>54</v>
      </c>
    </row>
    <row r="136" spans="1:14" ht="13.5" thickBot="1">
      <c r="A136" s="240"/>
      <c r="B136" s="121"/>
      <c r="C136" s="122"/>
      <c r="D136" s="122"/>
      <c r="E136" s="122"/>
      <c r="F136" s="124"/>
      <c r="G136" s="125"/>
      <c r="H136" s="123"/>
      <c r="I136" s="31" t="s">
        <v>27</v>
      </c>
      <c r="J136" s="74">
        <v>1800</v>
      </c>
      <c r="N136" t="s">
        <v>102</v>
      </c>
    </row>
    <row r="137" spans="1:10" ht="13.5" thickBot="1">
      <c r="A137" s="239" t="s">
        <v>13</v>
      </c>
      <c r="B137" s="109">
        <f>18.71*1806.4</f>
        <v>33797.744000000006</v>
      </c>
      <c r="C137" s="22">
        <f>E137-B137</f>
        <v>-1242.624000000007</v>
      </c>
      <c r="D137" s="38"/>
      <c r="E137" s="69">
        <v>32555.12</v>
      </c>
      <c r="F137" s="44">
        <f>B137*1</f>
        <v>33797.744000000006</v>
      </c>
      <c r="G137" s="70">
        <f>(2.08+4.34+0.49+2.42)*1806.4</f>
        <v>16853.712</v>
      </c>
      <c r="H137" s="22">
        <f>F137-G137+C137</f>
        <v>15701.408</v>
      </c>
      <c r="I137" s="149" t="s">
        <v>31</v>
      </c>
      <c r="J137" s="150">
        <f>2.78*1806.4+0.99*1806.4</f>
        <v>6810.128</v>
      </c>
    </row>
    <row r="138" spans="1:10" ht="12.75">
      <c r="A138" s="240"/>
      <c r="B138" s="82"/>
      <c r="C138" s="83"/>
      <c r="D138" s="83"/>
      <c r="E138" s="83"/>
      <c r="F138" s="84"/>
      <c r="G138" s="85"/>
      <c r="H138" s="86"/>
      <c r="I138" s="94" t="s">
        <v>72</v>
      </c>
      <c r="J138" s="151">
        <f>1.28*1806.4</f>
        <v>2312.192</v>
      </c>
    </row>
    <row r="139" spans="1:10" ht="13.5" thickBot="1">
      <c r="A139" s="241"/>
      <c r="B139" s="140"/>
      <c r="C139" s="138"/>
      <c r="D139" s="138"/>
      <c r="E139" s="138"/>
      <c r="F139" s="137"/>
      <c r="G139" s="141"/>
      <c r="H139" s="139"/>
      <c r="I139" s="19" t="s">
        <v>74</v>
      </c>
      <c r="J139" s="74">
        <v>10</v>
      </c>
    </row>
    <row r="140" spans="1:10" ht="13.5" thickBot="1">
      <c r="A140" s="239" t="s">
        <v>14</v>
      </c>
      <c r="B140" s="109">
        <f>18.71*1806.4</f>
        <v>33797.744000000006</v>
      </c>
      <c r="C140" s="22">
        <f>E140-B140</f>
        <v>1287.1059999999925</v>
      </c>
      <c r="D140" s="43"/>
      <c r="E140" s="69">
        <v>35084.85</v>
      </c>
      <c r="F140" s="44">
        <f>B140*1</f>
        <v>33797.744000000006</v>
      </c>
      <c r="G140" s="70">
        <f>(2.08+4.34+0.49+2.42)*1806.4</f>
        <v>16853.712</v>
      </c>
      <c r="H140" s="22">
        <f>F140-G140+C140</f>
        <v>18231.138</v>
      </c>
      <c r="I140" s="153" t="s">
        <v>31</v>
      </c>
      <c r="J140" s="150">
        <f>2.78*1806.4+0.99*1806.4</f>
        <v>6810.128</v>
      </c>
    </row>
    <row r="141" spans="1:10" ht="12.75">
      <c r="A141" s="240"/>
      <c r="B141" s="82"/>
      <c r="C141" s="83"/>
      <c r="D141" s="83"/>
      <c r="E141" s="83"/>
      <c r="F141" s="84"/>
      <c r="G141" s="85"/>
      <c r="H141" s="86"/>
      <c r="I141" s="94" t="s">
        <v>72</v>
      </c>
      <c r="J141" s="151">
        <f>1.28*1806.4</f>
        <v>2312.192</v>
      </c>
    </row>
    <row r="142" spans="1:10" ht="12.75">
      <c r="A142" s="240"/>
      <c r="B142" s="121"/>
      <c r="C142" s="122"/>
      <c r="D142" s="122"/>
      <c r="E142" s="122"/>
      <c r="F142" s="124"/>
      <c r="G142" s="125"/>
      <c r="H142" s="123"/>
      <c r="I142" s="19" t="s">
        <v>77</v>
      </c>
      <c r="J142" s="74">
        <v>20</v>
      </c>
    </row>
    <row r="143" spans="1:10" ht="24">
      <c r="A143" s="240"/>
      <c r="B143" s="121"/>
      <c r="C143" s="122"/>
      <c r="D143" s="122"/>
      <c r="E143" s="122"/>
      <c r="F143" s="124"/>
      <c r="G143" s="125"/>
      <c r="H143" s="123"/>
      <c r="I143" s="152" t="s">
        <v>78</v>
      </c>
      <c r="J143" s="75">
        <v>44</v>
      </c>
    </row>
    <row r="144" spans="1:10" ht="32.25" customHeight="1">
      <c r="A144" s="240"/>
      <c r="B144" s="121"/>
      <c r="C144" s="122"/>
      <c r="D144" s="122"/>
      <c r="E144" s="122"/>
      <c r="F144" s="124"/>
      <c r="G144" s="125"/>
      <c r="H144" s="123"/>
      <c r="I144" s="18" t="s">
        <v>100</v>
      </c>
      <c r="J144" s="75">
        <v>1153</v>
      </c>
    </row>
    <row r="145" spans="1:10" ht="12.75">
      <c r="A145" s="240"/>
      <c r="B145" s="121"/>
      <c r="C145" s="122"/>
      <c r="D145" s="122"/>
      <c r="E145" s="122"/>
      <c r="F145" s="124"/>
      <c r="G145" s="125"/>
      <c r="H145" s="123"/>
      <c r="I145" s="155" t="s">
        <v>79</v>
      </c>
      <c r="J145" s="75">
        <v>99</v>
      </c>
    </row>
    <row r="146" spans="1:10" ht="12.75" customHeight="1" thickBot="1">
      <c r="A146" s="240"/>
      <c r="B146" s="124"/>
      <c r="C146" s="122"/>
      <c r="D146" s="122"/>
      <c r="E146" s="122"/>
      <c r="F146" s="124"/>
      <c r="G146" s="122"/>
      <c r="H146" s="123"/>
      <c r="I146" s="133" t="s">
        <v>80</v>
      </c>
      <c r="J146" s="173">
        <v>69068</v>
      </c>
    </row>
    <row r="147" spans="1:10" ht="13.5" thickBot="1">
      <c r="A147" s="239" t="s">
        <v>15</v>
      </c>
      <c r="B147" s="37">
        <f>17.31*1806.3995</f>
        <v>31268.775345</v>
      </c>
      <c r="C147" s="22">
        <f>E147-B147</f>
        <v>-5477.715344999997</v>
      </c>
      <c r="D147" s="43"/>
      <c r="E147" s="69">
        <v>25791.06</v>
      </c>
      <c r="F147" s="44">
        <f>B147*1</f>
        <v>31268.775345</v>
      </c>
      <c r="G147" s="70">
        <f>(2.08+4.34+0.49+2.42)*1806.4</f>
        <v>16853.712</v>
      </c>
      <c r="H147" s="22">
        <f>F147-G147+C147</f>
        <v>8937.348000000002</v>
      </c>
      <c r="I147" s="161" t="s">
        <v>31</v>
      </c>
      <c r="J147" s="150">
        <f>2.78*1806.4+0.99*1806.4</f>
        <v>6810.128</v>
      </c>
    </row>
    <row r="148" spans="1:10" ht="12.75">
      <c r="A148" s="240"/>
      <c r="B148" s="82"/>
      <c r="C148" s="83"/>
      <c r="D148" s="83"/>
      <c r="E148" s="83"/>
      <c r="F148" s="84"/>
      <c r="G148" s="85"/>
      <c r="H148" s="86"/>
      <c r="I148" s="162" t="s">
        <v>81</v>
      </c>
      <c r="J148" s="74">
        <v>529</v>
      </c>
    </row>
    <row r="149" spans="1:10" ht="12.75">
      <c r="A149" s="240"/>
      <c r="B149" s="121"/>
      <c r="C149" s="122"/>
      <c r="D149" s="122"/>
      <c r="E149" s="122"/>
      <c r="F149" s="124"/>
      <c r="G149" s="125"/>
      <c r="H149" s="123"/>
      <c r="I149" s="162" t="s">
        <v>99</v>
      </c>
      <c r="J149" s="74">
        <v>3000</v>
      </c>
    </row>
    <row r="150" spans="1:12" ht="12.75">
      <c r="A150" s="240"/>
      <c r="B150" s="121"/>
      <c r="C150" s="122"/>
      <c r="D150" s="122"/>
      <c r="E150" s="122"/>
      <c r="F150" s="124"/>
      <c r="G150" s="125"/>
      <c r="H150" s="123"/>
      <c r="I150" s="159" t="s">
        <v>98</v>
      </c>
      <c r="J150" s="170">
        <v>122401.88</v>
      </c>
      <c r="K150" s="160" t="s">
        <v>101</v>
      </c>
      <c r="L150" s="160"/>
    </row>
    <row r="151" spans="1:10" ht="13.5" thickBot="1">
      <c r="A151" s="241"/>
      <c r="B151" s="140"/>
      <c r="C151" s="138"/>
      <c r="D151" s="138"/>
      <c r="E151" s="138"/>
      <c r="F151" s="137"/>
      <c r="G151" s="141"/>
      <c r="H151" s="139"/>
      <c r="I151" s="81" t="s">
        <v>29</v>
      </c>
      <c r="J151" s="163">
        <v>4105</v>
      </c>
    </row>
    <row r="152" spans="1:10" ht="13.5" thickBot="1">
      <c r="A152" s="239" t="s">
        <v>16</v>
      </c>
      <c r="B152" s="37">
        <f>17.31*1806.3995</f>
        <v>31268.775345</v>
      </c>
      <c r="C152" s="22">
        <f>E152-B152</f>
        <v>3866.104654999999</v>
      </c>
      <c r="D152" s="43"/>
      <c r="E152" s="108">
        <v>35134.88</v>
      </c>
      <c r="F152" s="44">
        <f>B152*1</f>
        <v>31268.775345</v>
      </c>
      <c r="G152" s="70">
        <f>(2.08+4.34+0.49+2.42)*1806.4</f>
        <v>16853.712</v>
      </c>
      <c r="H152" s="22">
        <f>F152-G152+C152</f>
        <v>18281.167999999998</v>
      </c>
      <c r="I152" s="153" t="s">
        <v>31</v>
      </c>
      <c r="J152" s="150">
        <f>2.78*1806.4+0.99*1806.4</f>
        <v>6810.128</v>
      </c>
    </row>
    <row r="153" spans="1:10" ht="24">
      <c r="A153" s="240"/>
      <c r="B153" s="82"/>
      <c r="C153" s="83"/>
      <c r="D153" s="83"/>
      <c r="E153" s="86"/>
      <c r="F153" s="84"/>
      <c r="G153" s="85"/>
      <c r="H153" s="86"/>
      <c r="I153" s="156" t="s">
        <v>82</v>
      </c>
      <c r="J153" s="74">
        <v>888</v>
      </c>
    </row>
    <row r="154" spans="1:12" ht="36">
      <c r="A154" s="240"/>
      <c r="B154" s="121"/>
      <c r="C154" s="122"/>
      <c r="D154" s="122"/>
      <c r="E154" s="123"/>
      <c r="F154" s="124"/>
      <c r="G154" s="125"/>
      <c r="H154" s="123"/>
      <c r="I154" s="120" t="s">
        <v>97</v>
      </c>
      <c r="J154" s="115">
        <v>7718</v>
      </c>
      <c r="K154" s="126"/>
      <c r="L154" s="168"/>
    </row>
    <row r="155" spans="1:11" ht="12.75">
      <c r="A155" s="240"/>
      <c r="B155" s="121"/>
      <c r="C155" s="122"/>
      <c r="D155" s="122"/>
      <c r="E155" s="123"/>
      <c r="F155" s="124"/>
      <c r="G155" s="125"/>
      <c r="H155" s="123"/>
      <c r="I155" s="76" t="s">
        <v>83</v>
      </c>
      <c r="J155" s="74">
        <v>466</v>
      </c>
      <c r="K155" s="169"/>
    </row>
    <row r="156" spans="1:10" ht="12.75">
      <c r="A156" s="240"/>
      <c r="B156" s="121"/>
      <c r="C156" s="122"/>
      <c r="D156" s="122"/>
      <c r="E156" s="123"/>
      <c r="F156" s="124"/>
      <c r="G156" s="125"/>
      <c r="H156" s="123"/>
      <c r="I156" s="157" t="s">
        <v>84</v>
      </c>
      <c r="J156" s="74">
        <v>4500</v>
      </c>
    </row>
    <row r="157" spans="1:10" ht="12.75">
      <c r="A157" s="240"/>
      <c r="B157" s="121"/>
      <c r="C157" s="122"/>
      <c r="D157" s="122"/>
      <c r="E157" s="123"/>
      <c r="F157" s="124"/>
      <c r="G157" s="125"/>
      <c r="H157" s="123"/>
      <c r="I157" s="76" t="s">
        <v>85</v>
      </c>
      <c r="J157" s="74">
        <v>510</v>
      </c>
    </row>
    <row r="158" spans="1:10" ht="12.75">
      <c r="A158" s="240"/>
      <c r="B158" s="121"/>
      <c r="C158" s="122"/>
      <c r="D158" s="122"/>
      <c r="E158" s="123"/>
      <c r="F158" s="124"/>
      <c r="G158" s="125"/>
      <c r="H158" s="123"/>
      <c r="I158" s="158" t="s">
        <v>86</v>
      </c>
      <c r="J158" s="74">
        <v>2500</v>
      </c>
    </row>
    <row r="159" spans="1:10" ht="12.75">
      <c r="A159" s="240"/>
      <c r="B159" s="121"/>
      <c r="C159" s="122"/>
      <c r="D159" s="122"/>
      <c r="E159" s="123"/>
      <c r="F159" s="124"/>
      <c r="G159" s="125"/>
      <c r="H159" s="123"/>
      <c r="I159" s="19" t="s">
        <v>96</v>
      </c>
      <c r="J159" s="58">
        <v>510</v>
      </c>
    </row>
    <row r="160" spans="1:10" ht="13.5" thickBot="1">
      <c r="A160" s="241"/>
      <c r="B160" s="140"/>
      <c r="C160" s="138"/>
      <c r="D160" s="138"/>
      <c r="E160" s="139"/>
      <c r="F160" s="137"/>
      <c r="G160" s="141"/>
      <c r="H160" s="139"/>
      <c r="I160" s="31" t="s">
        <v>36</v>
      </c>
      <c r="J160" s="167">
        <v>3466.9</v>
      </c>
    </row>
    <row r="161" spans="1:10" ht="13.5" thickBot="1">
      <c r="A161" s="239" t="s">
        <v>17</v>
      </c>
      <c r="B161" s="37">
        <f>17.31*1806.3996</f>
        <v>31268.777076</v>
      </c>
      <c r="C161" s="110">
        <f>E161-B161</f>
        <v>-5236.737075999998</v>
      </c>
      <c r="D161" s="135"/>
      <c r="E161" s="136">
        <v>26032.04</v>
      </c>
      <c r="F161" s="111">
        <f>B161*1</f>
        <v>31268.777076</v>
      </c>
      <c r="G161" s="70">
        <f>(2.08+4.34+0.49+2.42)*1806.4</f>
        <v>16853.712</v>
      </c>
      <c r="H161" s="67">
        <f>F161-G161+C161</f>
        <v>9178.328000000001</v>
      </c>
      <c r="I161" s="153" t="s">
        <v>31</v>
      </c>
      <c r="J161" s="150">
        <f>2.78*1806.4+0.99*1806.4</f>
        <v>6810.128</v>
      </c>
    </row>
    <row r="162" spans="1:10" ht="24.75" thickBot="1">
      <c r="A162" s="240"/>
      <c r="B162" s="82"/>
      <c r="C162" s="83"/>
      <c r="D162" s="83"/>
      <c r="E162" s="86"/>
      <c r="F162" s="84"/>
      <c r="G162" s="85"/>
      <c r="H162" s="86"/>
      <c r="I162" s="76" t="s">
        <v>87</v>
      </c>
      <c r="J162" s="115">
        <v>1326</v>
      </c>
    </row>
    <row r="163" spans="1:10" ht="13.5" thickBot="1">
      <c r="A163" s="239" t="s">
        <v>18</v>
      </c>
      <c r="B163" s="37">
        <f>17.31*1806.3996</f>
        <v>31268.777076</v>
      </c>
      <c r="C163" s="22">
        <f>E163-B163</f>
        <v>3699.602923999999</v>
      </c>
      <c r="D163" s="146"/>
      <c r="E163" s="148">
        <v>34968.38</v>
      </c>
      <c r="F163" s="44">
        <f>B163*1</f>
        <v>31268.777076</v>
      </c>
      <c r="G163" s="70">
        <f>(2.08+4.34+0.49+2.42)*1806.4</f>
        <v>16853.712</v>
      </c>
      <c r="H163" s="22">
        <f>F163-G163+C163</f>
        <v>18114.667999999998</v>
      </c>
      <c r="I163" s="153" t="s">
        <v>31</v>
      </c>
      <c r="J163" s="150">
        <f>2.78*1806.4+0.99*1806.4</f>
        <v>6810.128</v>
      </c>
    </row>
    <row r="164" spans="1:10" ht="24">
      <c r="A164" s="240"/>
      <c r="B164" s="82"/>
      <c r="C164" s="83"/>
      <c r="D164" s="83"/>
      <c r="E164" s="86"/>
      <c r="F164" s="84"/>
      <c r="G164" s="85"/>
      <c r="H164" s="86"/>
      <c r="I164" s="76" t="s">
        <v>88</v>
      </c>
      <c r="J164" s="74">
        <v>1082</v>
      </c>
    </row>
    <row r="165" spans="1:10" ht="12.75">
      <c r="A165" s="240"/>
      <c r="B165" s="121"/>
      <c r="C165" s="122"/>
      <c r="D165" s="122"/>
      <c r="E165" s="123"/>
      <c r="F165" s="124"/>
      <c r="G165" s="125"/>
      <c r="H165" s="123"/>
      <c r="I165" s="19" t="s">
        <v>74</v>
      </c>
      <c r="J165" s="74">
        <v>13</v>
      </c>
    </row>
    <row r="166" spans="1:10" ht="12.75" customHeight="1">
      <c r="A166" s="240"/>
      <c r="B166" s="121"/>
      <c r="C166" s="122"/>
      <c r="D166" s="122"/>
      <c r="E166" s="123"/>
      <c r="F166" s="124"/>
      <c r="G166" s="125"/>
      <c r="H166" s="123"/>
      <c r="I166" s="20" t="s">
        <v>89</v>
      </c>
      <c r="J166" s="115">
        <v>1477</v>
      </c>
    </row>
    <row r="167" spans="1:10" ht="24" customHeight="1" thickBot="1">
      <c r="A167" s="240"/>
      <c r="B167" s="121"/>
      <c r="C167" s="122"/>
      <c r="D167" s="122"/>
      <c r="E167" s="123"/>
      <c r="F167" s="124"/>
      <c r="G167" s="125"/>
      <c r="H167" s="123"/>
      <c r="I167" s="126" t="s">
        <v>90</v>
      </c>
      <c r="J167" s="119">
        <v>1660</v>
      </c>
    </row>
    <row r="168" spans="1:10" ht="13.5" thickBot="1">
      <c r="A168" s="239" t="s">
        <v>19</v>
      </c>
      <c r="B168" s="37">
        <f>17.31*1806.3996</f>
        <v>31268.777076</v>
      </c>
      <c r="C168" s="22">
        <f>E168-B168</f>
        <v>-720.0270759999985</v>
      </c>
      <c r="D168" s="147"/>
      <c r="E168" s="148">
        <v>30548.75</v>
      </c>
      <c r="F168" s="127">
        <f>B168*1</f>
        <v>31268.777076</v>
      </c>
      <c r="G168" s="21">
        <f>(2.08+4.34+0.49+2.42)*1806.4</f>
        <v>16853.712</v>
      </c>
      <c r="H168" s="128">
        <f>F168-G168+C168</f>
        <v>13695.038</v>
      </c>
      <c r="I168" s="153" t="s">
        <v>31</v>
      </c>
      <c r="J168" s="150">
        <f>2.78*1806.4+0.99*1806.4</f>
        <v>6810.128</v>
      </c>
    </row>
    <row r="169" spans="1:10" ht="24">
      <c r="A169" s="240"/>
      <c r="B169" s="121"/>
      <c r="C169" s="122"/>
      <c r="D169" s="92"/>
      <c r="E169" s="123"/>
      <c r="F169" s="124"/>
      <c r="G169" s="125"/>
      <c r="H169" s="123"/>
      <c r="I169" s="18" t="s">
        <v>91</v>
      </c>
      <c r="J169" s="74">
        <v>127</v>
      </c>
    </row>
    <row r="170" spans="1:10" ht="13.5" thickBot="1">
      <c r="A170" s="240"/>
      <c r="B170" s="121"/>
      <c r="C170" s="122"/>
      <c r="D170" s="92"/>
      <c r="E170" s="123"/>
      <c r="F170" s="124"/>
      <c r="G170" s="125"/>
      <c r="H170" s="123"/>
      <c r="I170" s="94" t="s">
        <v>74</v>
      </c>
      <c r="J170" s="74">
        <v>13</v>
      </c>
    </row>
    <row r="171" spans="1:10" ht="13.5" thickBot="1">
      <c r="A171" s="242" t="s">
        <v>20</v>
      </c>
      <c r="B171" s="37">
        <f>17.31*1806.3996</f>
        <v>31268.777076</v>
      </c>
      <c r="C171" s="22">
        <f>E171-B171</f>
        <v>869.0529240000033</v>
      </c>
      <c r="D171" s="171"/>
      <c r="E171" s="172">
        <v>32137.83</v>
      </c>
      <c r="F171" s="44">
        <f>B171*1</f>
        <v>31268.777076</v>
      </c>
      <c r="G171" s="70">
        <f>(2.08+4.34+0.49+2.42)*1806.4</f>
        <v>16853.712</v>
      </c>
      <c r="H171" s="22">
        <f>F171-G171+C171</f>
        <v>15284.118000000002</v>
      </c>
      <c r="I171" s="153" t="s">
        <v>31</v>
      </c>
      <c r="J171" s="150">
        <f>2.78*1806.4+0.99*1806.4</f>
        <v>6810.128</v>
      </c>
    </row>
    <row r="172" spans="1:10" ht="24">
      <c r="A172" s="243"/>
      <c r="B172" s="82"/>
      <c r="C172" s="83"/>
      <c r="D172" s="93"/>
      <c r="E172" s="86"/>
      <c r="F172" s="84"/>
      <c r="G172" s="85"/>
      <c r="H172" s="86"/>
      <c r="I172" s="19" t="s">
        <v>92</v>
      </c>
      <c r="J172" s="74">
        <v>1520</v>
      </c>
    </row>
    <row r="173" spans="1:10" ht="12.75">
      <c r="A173" s="243"/>
      <c r="B173" s="121"/>
      <c r="C173" s="122"/>
      <c r="D173" s="92"/>
      <c r="E173" s="123"/>
      <c r="F173" s="124"/>
      <c r="G173" s="125"/>
      <c r="H173" s="123"/>
      <c r="I173" s="76" t="s">
        <v>93</v>
      </c>
      <c r="J173" s="115">
        <v>3505</v>
      </c>
    </row>
    <row r="174" spans="1:10" ht="24">
      <c r="A174" s="5"/>
      <c r="B174" s="121"/>
      <c r="C174" s="122"/>
      <c r="D174" s="92"/>
      <c r="E174" s="123"/>
      <c r="F174" s="124"/>
      <c r="G174" s="125"/>
      <c r="H174" s="123"/>
      <c r="I174" s="19" t="s">
        <v>28</v>
      </c>
      <c r="J174" s="74">
        <v>850</v>
      </c>
    </row>
    <row r="175" spans="1:10" ht="12.75">
      <c r="A175" s="5"/>
      <c r="B175" s="121"/>
      <c r="C175" s="122"/>
      <c r="D175" s="92"/>
      <c r="E175" s="123"/>
      <c r="F175" s="124"/>
      <c r="G175" s="125"/>
      <c r="H175" s="123"/>
      <c r="I175" s="94" t="s">
        <v>94</v>
      </c>
      <c r="J175" s="74">
        <v>3372</v>
      </c>
    </row>
    <row r="176" spans="1:10" ht="13.5" thickBot="1">
      <c r="A176" s="5"/>
      <c r="B176" s="121"/>
      <c r="C176" s="122"/>
      <c r="D176" s="92"/>
      <c r="E176" s="123"/>
      <c r="F176" s="124"/>
      <c r="G176" s="125"/>
      <c r="H176" s="123"/>
      <c r="I176" s="31" t="s">
        <v>95</v>
      </c>
      <c r="J176" s="78">
        <v>898</v>
      </c>
    </row>
    <row r="177" spans="1:10" ht="13.5" thickBot="1">
      <c r="A177" s="6" t="s">
        <v>21</v>
      </c>
      <c r="B177" s="51">
        <f>SUM(B122:B171)</f>
        <v>390399.12299400003</v>
      </c>
      <c r="C177" s="52">
        <f>SUM(C122:C171)</f>
        <v>-5286.472994000029</v>
      </c>
      <c r="D177" s="52"/>
      <c r="E177" s="53">
        <f>SUM(E122:E176)</f>
        <v>385112.65</v>
      </c>
      <c r="F177" s="54">
        <f>SUM(F122:F171)</f>
        <v>390399.12299400003</v>
      </c>
      <c r="G177" s="54">
        <f>SUM(G122:G171)</f>
        <v>202244.544</v>
      </c>
      <c r="H177" s="55">
        <f>SUM(H122:H171)</f>
        <v>182868.10600000003</v>
      </c>
      <c r="I177" s="131"/>
      <c r="J177" s="132"/>
    </row>
    <row r="178" spans="1:10" ht="13.5" thickBot="1">
      <c r="A178" s="5"/>
      <c r="B178" s="47"/>
      <c r="C178" s="48"/>
      <c r="D178" s="48"/>
      <c r="E178" s="49"/>
      <c r="F178" s="50"/>
      <c r="G178" s="50"/>
      <c r="H178" s="50"/>
      <c r="I178" s="129" t="s">
        <v>22</v>
      </c>
      <c r="J178" s="130">
        <f>SUM(J122:J176)</f>
        <v>347719.4680000001</v>
      </c>
    </row>
    <row r="179" spans="1:10" ht="13.5" thickBot="1">
      <c r="A179" s="4"/>
      <c r="B179" s="1"/>
      <c r="C179" s="2"/>
      <c r="D179" s="2"/>
      <c r="E179" s="3"/>
      <c r="F179" s="263"/>
      <c r="G179" s="264"/>
      <c r="H179" s="264"/>
      <c r="I179" s="265"/>
      <c r="J179" s="10"/>
    </row>
    <row r="180" spans="9:10" ht="13.5" thickBot="1">
      <c r="I180" s="11" t="s">
        <v>68</v>
      </c>
      <c r="J180" s="27">
        <f>H177+J121-J178</f>
        <v>-80888.43839080469</v>
      </c>
    </row>
    <row r="189" spans="1:10" ht="15.75">
      <c r="A189" s="253" t="s">
        <v>105</v>
      </c>
      <c r="B189" s="253"/>
      <c r="C189" s="253"/>
      <c r="D189" s="253"/>
      <c r="E189" s="253"/>
      <c r="F189" s="253"/>
      <c r="G189" s="253"/>
      <c r="H189" s="253"/>
      <c r="I189" s="253"/>
      <c r="J189" s="253"/>
    </row>
    <row r="190" spans="1:10" ht="16.5" thickBot="1">
      <c r="A190" s="254" t="s">
        <v>25</v>
      </c>
      <c r="B190" s="254"/>
      <c r="C190" s="254"/>
      <c r="D190" s="254"/>
      <c r="E190" s="254"/>
      <c r="F190" s="254"/>
      <c r="G190" s="254"/>
      <c r="H190" s="254"/>
      <c r="I190" s="254"/>
      <c r="J190" s="254"/>
    </row>
    <row r="191" spans="1:10" ht="13.5" thickBot="1">
      <c r="A191" s="255"/>
      <c r="B191" s="258" t="s">
        <v>23</v>
      </c>
      <c r="C191" s="259"/>
      <c r="D191" s="259"/>
      <c r="E191" s="260"/>
      <c r="F191" s="258" t="s">
        <v>26</v>
      </c>
      <c r="G191" s="259"/>
      <c r="H191" s="259"/>
      <c r="I191" s="259"/>
      <c r="J191" s="260"/>
    </row>
    <row r="192" spans="1:10" ht="13.5" thickBot="1">
      <c r="A192" s="256"/>
      <c r="B192" s="242" t="s">
        <v>0</v>
      </c>
      <c r="C192" s="261" t="s">
        <v>37</v>
      </c>
      <c r="D192" s="242" t="s">
        <v>1</v>
      </c>
      <c r="E192" s="242" t="s">
        <v>2</v>
      </c>
      <c r="F192" s="242" t="s">
        <v>3</v>
      </c>
      <c r="G192" s="242" t="s">
        <v>4</v>
      </c>
      <c r="H192" s="242" t="s">
        <v>5</v>
      </c>
      <c r="I192" s="248" t="s">
        <v>6</v>
      </c>
      <c r="J192" s="249"/>
    </row>
    <row r="193" spans="1:10" ht="33" customHeight="1" thickBot="1">
      <c r="A193" s="257"/>
      <c r="B193" s="247"/>
      <c r="C193" s="262"/>
      <c r="D193" s="247"/>
      <c r="E193" s="247"/>
      <c r="F193" s="247"/>
      <c r="G193" s="247"/>
      <c r="H193" s="240"/>
      <c r="I193" s="15" t="s">
        <v>7</v>
      </c>
      <c r="J193" s="15" t="s">
        <v>8</v>
      </c>
    </row>
    <row r="194" spans="1:10" ht="14.25" customHeight="1" thickBot="1">
      <c r="A194" s="187" t="s">
        <v>106</v>
      </c>
      <c r="B194" s="250"/>
      <c r="C194" s="251"/>
      <c r="D194" s="251"/>
      <c r="E194" s="252"/>
      <c r="F194" s="8"/>
      <c r="G194" s="9"/>
      <c r="H194" s="9"/>
      <c r="I194" s="188" t="s">
        <v>107</v>
      </c>
      <c r="J194" s="189">
        <f>J180</f>
        <v>-80888.43839080469</v>
      </c>
    </row>
    <row r="195" spans="1:10" ht="13.5" thickBot="1">
      <c r="A195" s="242" t="s">
        <v>9</v>
      </c>
      <c r="B195" s="37">
        <f>17.31*1806.3996</f>
        <v>31268.777076</v>
      </c>
      <c r="C195" s="22">
        <f>E195-B195</f>
        <v>-1587.7070759999988</v>
      </c>
      <c r="D195" s="38"/>
      <c r="E195" s="67">
        <v>29681.07</v>
      </c>
      <c r="F195" s="68">
        <f>B195*1</f>
        <v>31268.777076</v>
      </c>
      <c r="G195" s="70">
        <f>(2.08+4.93+0.49+2.93)*1806.4</f>
        <v>18840.752</v>
      </c>
      <c r="H195" s="39">
        <f>F195-G195+C195</f>
        <v>10840.318</v>
      </c>
      <c r="I195" s="153" t="s">
        <v>31</v>
      </c>
      <c r="J195" s="150">
        <f>3.77*1806.4</f>
        <v>6810.128000000001</v>
      </c>
    </row>
    <row r="196" spans="1:10" ht="24">
      <c r="A196" s="240"/>
      <c r="B196" s="56"/>
      <c r="C196" s="28"/>
      <c r="D196" s="28"/>
      <c r="E196" s="29"/>
      <c r="F196" s="84"/>
      <c r="G196" s="85"/>
      <c r="H196" s="86"/>
      <c r="I196" s="19" t="s">
        <v>138</v>
      </c>
      <c r="J196" s="192">
        <v>2069</v>
      </c>
    </row>
    <row r="197" spans="1:10" ht="12.75">
      <c r="A197" s="240"/>
      <c r="B197" s="60"/>
      <c r="C197" s="23"/>
      <c r="D197" s="23"/>
      <c r="E197" s="24"/>
      <c r="F197" s="124"/>
      <c r="G197" s="125"/>
      <c r="H197" s="123"/>
      <c r="I197" s="94" t="s">
        <v>109</v>
      </c>
      <c r="J197" s="192">
        <v>748</v>
      </c>
    </row>
    <row r="198" spans="1:10" ht="12.75" customHeight="1" thickBot="1">
      <c r="A198" s="240"/>
      <c r="B198" s="140"/>
      <c r="C198" s="138"/>
      <c r="D198" s="138"/>
      <c r="E198" s="139"/>
      <c r="F198" s="137"/>
      <c r="G198" s="141"/>
      <c r="H198" s="139"/>
      <c r="I198" s="30" t="s">
        <v>110</v>
      </c>
      <c r="J198" s="154">
        <v>510</v>
      </c>
    </row>
    <row r="199" spans="1:10" ht="13.5" thickBot="1">
      <c r="A199" s="239" t="s">
        <v>10</v>
      </c>
      <c r="B199" s="37">
        <f>17.31*1806.3996</f>
        <v>31268.777076</v>
      </c>
      <c r="C199" s="22">
        <f>E199-B199</f>
        <v>323.31292400000166</v>
      </c>
      <c r="D199" s="38"/>
      <c r="E199" s="69">
        <v>31592.09</v>
      </c>
      <c r="F199" s="44">
        <f>B199*1</f>
        <v>31268.777076</v>
      </c>
      <c r="G199" s="70">
        <f>(2.08+4.93+0.49+2.93)*1806.4</f>
        <v>18840.752</v>
      </c>
      <c r="H199" s="22">
        <f>F199-G199+C199</f>
        <v>12751.338</v>
      </c>
      <c r="I199" s="149" t="s">
        <v>31</v>
      </c>
      <c r="J199" s="150">
        <f>3.77*1806.4</f>
        <v>6810.128000000001</v>
      </c>
    </row>
    <row r="200" spans="1:10" ht="24">
      <c r="A200" s="240"/>
      <c r="B200" s="82"/>
      <c r="C200" s="83"/>
      <c r="D200" s="83"/>
      <c r="E200" s="83"/>
      <c r="F200" s="40"/>
      <c r="G200" s="85"/>
      <c r="H200" s="86"/>
      <c r="I200" s="19" t="s">
        <v>111</v>
      </c>
      <c r="J200" s="154">
        <v>1332</v>
      </c>
    </row>
    <row r="201" spans="1:10" ht="12.75">
      <c r="A201" s="240"/>
      <c r="B201" s="121"/>
      <c r="C201" s="122"/>
      <c r="D201" s="122"/>
      <c r="E201" s="122"/>
      <c r="F201" s="41"/>
      <c r="G201" s="125"/>
      <c r="H201" s="123"/>
      <c r="I201" s="19" t="s">
        <v>48</v>
      </c>
      <c r="J201" s="154">
        <v>7483</v>
      </c>
    </row>
    <row r="202" spans="1:10" ht="12.75" customHeight="1">
      <c r="A202" s="240"/>
      <c r="B202" s="121"/>
      <c r="C202" s="122"/>
      <c r="D202" s="122"/>
      <c r="E202" s="122"/>
      <c r="F202" s="41"/>
      <c r="G202" s="125"/>
      <c r="H202" s="123"/>
      <c r="I202" s="191" t="s">
        <v>112</v>
      </c>
      <c r="J202" s="154">
        <v>299</v>
      </c>
    </row>
    <row r="203" spans="1:10" ht="12.75" customHeight="1" thickBot="1">
      <c r="A203" s="240"/>
      <c r="B203" s="121"/>
      <c r="C203" s="122"/>
      <c r="D203" s="122"/>
      <c r="E203" s="122"/>
      <c r="F203" s="41"/>
      <c r="G203" s="125"/>
      <c r="H203" s="123"/>
      <c r="I203" s="217" t="s">
        <v>149</v>
      </c>
      <c r="J203" s="115">
        <v>19.8</v>
      </c>
    </row>
    <row r="204" spans="1:10" ht="13.5" thickBot="1">
      <c r="A204" s="239" t="s">
        <v>11</v>
      </c>
      <c r="B204" s="37">
        <f>17.31*1806.3996</f>
        <v>31268.777076</v>
      </c>
      <c r="C204" s="22">
        <f>E204-B204</f>
        <v>-1121.927076</v>
      </c>
      <c r="D204" s="43"/>
      <c r="E204" s="22">
        <v>30146.85</v>
      </c>
      <c r="F204" s="44">
        <f>B204*1</f>
        <v>31268.777076</v>
      </c>
      <c r="G204" s="21">
        <f>(2.08+4.93+0.49+2.93)*1806.4</f>
        <v>18840.752</v>
      </c>
      <c r="H204" s="22">
        <f>F204-G204+C204</f>
        <v>11306.097999999998</v>
      </c>
      <c r="I204" s="153" t="s">
        <v>31</v>
      </c>
      <c r="J204" s="150">
        <f>3.77*1806.4</f>
        <v>6810.128000000001</v>
      </c>
    </row>
    <row r="205" spans="1:10" ht="24">
      <c r="A205" s="240"/>
      <c r="B205" s="121"/>
      <c r="C205" s="122"/>
      <c r="D205" s="122"/>
      <c r="E205" s="122"/>
      <c r="F205" s="41"/>
      <c r="G205" s="125"/>
      <c r="H205" s="123"/>
      <c r="I205" s="19" t="s">
        <v>113</v>
      </c>
      <c r="J205" s="154">
        <v>7367</v>
      </c>
    </row>
    <row r="206" spans="1:10" ht="12.75" customHeight="1" thickBot="1">
      <c r="A206" s="240"/>
      <c r="B206" s="121"/>
      <c r="C206" s="122"/>
      <c r="D206" s="122"/>
      <c r="E206" s="122"/>
      <c r="F206" s="41"/>
      <c r="G206" s="125"/>
      <c r="H206" s="123"/>
      <c r="I206" s="217" t="s">
        <v>148</v>
      </c>
      <c r="J206" s="115">
        <v>297</v>
      </c>
    </row>
    <row r="207" spans="1:10" ht="13.5" thickBot="1">
      <c r="A207" s="239" t="s">
        <v>12</v>
      </c>
      <c r="B207" s="37">
        <f>17.31*1806.3996</f>
        <v>31268.777076</v>
      </c>
      <c r="C207" s="22">
        <f>E207-B207</f>
        <v>-3251.4070759999995</v>
      </c>
      <c r="D207" s="43"/>
      <c r="E207" s="69">
        <v>28017.37</v>
      </c>
      <c r="F207" s="44">
        <f>B207*1</f>
        <v>31268.777076</v>
      </c>
      <c r="G207" s="70">
        <f>(2.08+4.93+0.49+2.93)*1806.4</f>
        <v>18840.752</v>
      </c>
      <c r="H207" s="22">
        <f>F207-G207+C207</f>
        <v>9176.617999999999</v>
      </c>
      <c r="I207" s="153" t="s">
        <v>31</v>
      </c>
      <c r="J207" s="150">
        <f>3.77*1806.4</f>
        <v>6810.128000000001</v>
      </c>
    </row>
    <row r="208" spans="1:10" ht="12.75" customHeight="1">
      <c r="A208" s="240"/>
      <c r="B208" s="82"/>
      <c r="C208" s="83"/>
      <c r="D208" s="83"/>
      <c r="E208" s="83"/>
      <c r="F208" s="40"/>
      <c r="G208" s="85"/>
      <c r="H208" s="86"/>
      <c r="I208" s="156" t="s">
        <v>115</v>
      </c>
      <c r="J208" s="154">
        <v>0</v>
      </c>
    </row>
    <row r="209" spans="1:10" ht="12.75" customHeight="1">
      <c r="A209" s="240"/>
      <c r="B209" s="121"/>
      <c r="C209" s="122"/>
      <c r="D209" s="122"/>
      <c r="E209" s="122"/>
      <c r="F209" s="41"/>
      <c r="G209" s="125"/>
      <c r="H209" s="123"/>
      <c r="I209" s="157" t="s">
        <v>114</v>
      </c>
      <c r="J209" s="74">
        <v>150</v>
      </c>
    </row>
    <row r="210" spans="1:10" ht="12.75" customHeight="1">
      <c r="A210" s="240"/>
      <c r="B210" s="121"/>
      <c r="C210" s="122"/>
      <c r="D210" s="122"/>
      <c r="E210" s="122"/>
      <c r="F210" s="41"/>
      <c r="G210" s="125"/>
      <c r="H210" s="123"/>
      <c r="I210" s="156" t="s">
        <v>139</v>
      </c>
      <c r="J210" s="74">
        <v>572.5</v>
      </c>
    </row>
    <row r="211" spans="1:10" ht="12.75" customHeight="1" thickBot="1">
      <c r="A211" s="240"/>
      <c r="B211" s="121"/>
      <c r="C211" s="122"/>
      <c r="D211" s="122"/>
      <c r="E211" s="122"/>
      <c r="F211" s="41"/>
      <c r="G211" s="125"/>
      <c r="H211" s="123"/>
      <c r="I211" s="194" t="s">
        <v>116</v>
      </c>
      <c r="J211" s="74">
        <v>0</v>
      </c>
    </row>
    <row r="212" spans="1:10" ht="12.75" customHeight="1" thickBot="1">
      <c r="A212" s="239" t="s">
        <v>13</v>
      </c>
      <c r="B212" s="37">
        <f>17.31*1806.3996</f>
        <v>31268.777076</v>
      </c>
      <c r="C212" s="22">
        <f>E212-B212</f>
        <v>3336.4729240000015</v>
      </c>
      <c r="D212" s="174"/>
      <c r="E212" s="69">
        <v>34605.25</v>
      </c>
      <c r="F212" s="44">
        <f>B212*1</f>
        <v>31268.777076</v>
      </c>
      <c r="G212" s="70">
        <f>(2.08+4.93+0.49+2.93)*1806.4</f>
        <v>18840.752</v>
      </c>
      <c r="H212" s="22">
        <f>F212-G212+C212</f>
        <v>15764.498</v>
      </c>
      <c r="I212" s="214" t="s">
        <v>31</v>
      </c>
      <c r="J212" s="150">
        <f>3.77*1806.4</f>
        <v>6810.128000000001</v>
      </c>
    </row>
    <row r="213" spans="1:10" ht="37.5" customHeight="1">
      <c r="A213" s="240"/>
      <c r="B213" s="82"/>
      <c r="C213" s="28"/>
      <c r="D213" s="83"/>
      <c r="E213" s="83"/>
      <c r="F213" s="84"/>
      <c r="G213" s="85"/>
      <c r="H213" s="86"/>
      <c r="I213" s="215" t="s">
        <v>143</v>
      </c>
      <c r="J213" s="208">
        <v>247.5</v>
      </c>
    </row>
    <row r="214" spans="1:10" ht="24" customHeight="1">
      <c r="A214" s="240"/>
      <c r="B214" s="121"/>
      <c r="C214" s="23"/>
      <c r="D214" s="122"/>
      <c r="E214" s="122"/>
      <c r="F214" s="124"/>
      <c r="G214" s="125"/>
      <c r="H214" s="123"/>
      <c r="I214" s="215" t="s">
        <v>121</v>
      </c>
      <c r="J214" s="151">
        <v>390.4</v>
      </c>
    </row>
    <row r="215" spans="1:10" ht="12.75" customHeight="1">
      <c r="A215" s="240"/>
      <c r="B215" s="121"/>
      <c r="C215" s="23"/>
      <c r="D215" s="122"/>
      <c r="E215" s="122"/>
      <c r="F215" s="124"/>
      <c r="G215" s="125"/>
      <c r="H215" s="123"/>
      <c r="I215" s="216" t="s">
        <v>114</v>
      </c>
      <c r="J215" s="74">
        <v>150</v>
      </c>
    </row>
    <row r="216" spans="1:10" ht="12.75" customHeight="1">
      <c r="A216" s="240"/>
      <c r="B216" s="121"/>
      <c r="C216" s="23"/>
      <c r="D216" s="122"/>
      <c r="E216" s="122"/>
      <c r="F216" s="124"/>
      <c r="G216" s="125"/>
      <c r="H216" s="123"/>
      <c r="I216" s="215" t="s">
        <v>139</v>
      </c>
      <c r="J216" s="74">
        <v>572.5</v>
      </c>
    </row>
    <row r="217" spans="1:10" ht="12.75" customHeight="1" thickBot="1">
      <c r="A217" s="240"/>
      <c r="B217" s="121"/>
      <c r="C217" s="23"/>
      <c r="D217" s="122"/>
      <c r="E217" s="122"/>
      <c r="F217" s="124"/>
      <c r="G217" s="125"/>
      <c r="H217" s="123"/>
      <c r="I217" s="215" t="s">
        <v>117</v>
      </c>
      <c r="J217" s="154">
        <v>204</v>
      </c>
    </row>
    <row r="218" spans="1:10" ht="12.75" customHeight="1" thickBot="1">
      <c r="A218" s="239" t="s">
        <v>14</v>
      </c>
      <c r="B218" s="37">
        <f>17.31*1806.3996</f>
        <v>31268.777076</v>
      </c>
      <c r="C218" s="22">
        <f>E218-B218</f>
        <v>545.5729240000001</v>
      </c>
      <c r="D218" s="146"/>
      <c r="E218" s="69">
        <v>31814.35</v>
      </c>
      <c r="F218" s="44">
        <f>B218*1</f>
        <v>31268.777076</v>
      </c>
      <c r="G218" s="70">
        <f>(2.08+4.93+0.49+2.93)*1806.4</f>
        <v>18840.752</v>
      </c>
      <c r="H218" s="22">
        <f>F218-G218+C218</f>
        <v>12973.597999999998</v>
      </c>
      <c r="I218" s="153" t="s">
        <v>31</v>
      </c>
      <c r="J218" s="150">
        <f>3.77*1806.4</f>
        <v>6810.128000000001</v>
      </c>
    </row>
    <row r="219" spans="1:10" ht="12.75" customHeight="1">
      <c r="A219" s="240"/>
      <c r="B219" s="82"/>
      <c r="C219" s="83"/>
      <c r="D219" s="83"/>
      <c r="E219" s="83"/>
      <c r="F219" s="40"/>
      <c r="G219" s="85"/>
      <c r="H219" s="86"/>
      <c r="I219" s="19" t="s">
        <v>118</v>
      </c>
      <c r="J219" s="115">
        <v>325</v>
      </c>
    </row>
    <row r="220" spans="1:10" ht="36" customHeight="1">
      <c r="A220" s="240"/>
      <c r="B220" s="121"/>
      <c r="C220" s="122"/>
      <c r="D220" s="122"/>
      <c r="E220" s="122"/>
      <c r="F220" s="41"/>
      <c r="G220" s="125"/>
      <c r="H220" s="123"/>
      <c r="I220" s="18" t="s">
        <v>119</v>
      </c>
      <c r="J220" s="74">
        <v>108793</v>
      </c>
    </row>
    <row r="221" spans="1:10" ht="12.75" customHeight="1">
      <c r="A221" s="240"/>
      <c r="B221" s="121"/>
      <c r="C221" s="122"/>
      <c r="D221" s="122"/>
      <c r="E221" s="122"/>
      <c r="F221" s="41"/>
      <c r="G221" s="125"/>
      <c r="H221" s="123"/>
      <c r="I221" s="19" t="s">
        <v>36</v>
      </c>
      <c r="J221" s="75">
        <v>2873.24</v>
      </c>
    </row>
    <row r="222" spans="1:10" ht="12.75" customHeight="1">
      <c r="A222" s="240"/>
      <c r="B222" s="121"/>
      <c r="C222" s="122"/>
      <c r="D222" s="122"/>
      <c r="E222" s="122"/>
      <c r="F222" s="41"/>
      <c r="G222" s="125"/>
      <c r="H222" s="123"/>
      <c r="I222" s="149" t="s">
        <v>144</v>
      </c>
      <c r="J222" s="75">
        <v>4000</v>
      </c>
    </row>
    <row r="223" spans="1:10" ht="13.5" customHeight="1">
      <c r="A223" s="240"/>
      <c r="B223" s="121"/>
      <c r="C223" s="122"/>
      <c r="D223" s="122"/>
      <c r="E223" s="122"/>
      <c r="F223" s="41"/>
      <c r="G223" s="125"/>
      <c r="H223" s="123"/>
      <c r="I223" s="157" t="s">
        <v>114</v>
      </c>
      <c r="J223" s="74">
        <v>150</v>
      </c>
    </row>
    <row r="224" spans="1:10" ht="13.5" customHeight="1" thickBot="1">
      <c r="A224" s="241"/>
      <c r="B224" s="137"/>
      <c r="C224" s="138"/>
      <c r="D224" s="138"/>
      <c r="E224" s="138"/>
      <c r="F224" s="42"/>
      <c r="G224" s="138"/>
      <c r="H224" s="139"/>
      <c r="I224" s="221" t="s">
        <v>139</v>
      </c>
      <c r="J224" s="78">
        <v>572.5</v>
      </c>
    </row>
    <row r="225" spans="1:10" ht="12.75" customHeight="1" thickBot="1">
      <c r="A225" s="239" t="s">
        <v>15</v>
      </c>
      <c r="B225" s="37">
        <f>17.31*1806.3996</f>
        <v>31268.777076</v>
      </c>
      <c r="C225" s="22">
        <f>E225-B225</f>
        <v>118.26292400000239</v>
      </c>
      <c r="D225" s="146"/>
      <c r="E225" s="69">
        <v>31387.04</v>
      </c>
      <c r="F225" s="44">
        <f>B225*1</f>
        <v>31268.777076</v>
      </c>
      <c r="G225" s="70">
        <f>(2.08+4.93+0.49+2.93)*1806.4</f>
        <v>18840.752</v>
      </c>
      <c r="H225" s="22">
        <f>F225-G225+C225</f>
        <v>12546.288</v>
      </c>
      <c r="I225" s="153" t="s">
        <v>31</v>
      </c>
      <c r="J225" s="150">
        <f>3.77*1806.4</f>
        <v>6810.128000000001</v>
      </c>
    </row>
    <row r="226" spans="1:10" ht="25.5" customHeight="1">
      <c r="A226" s="240"/>
      <c r="B226" s="82"/>
      <c r="C226" s="28"/>
      <c r="D226" s="83"/>
      <c r="E226" s="83"/>
      <c r="F226" s="84"/>
      <c r="G226" s="85"/>
      <c r="H226" s="86"/>
      <c r="I226" s="76" t="s">
        <v>145</v>
      </c>
      <c r="J226" s="74">
        <v>276</v>
      </c>
    </row>
    <row r="227" spans="1:10" ht="12.75" customHeight="1">
      <c r="A227" s="240"/>
      <c r="B227" s="121"/>
      <c r="C227" s="23"/>
      <c r="D227" s="122"/>
      <c r="E227" s="122"/>
      <c r="F227" s="124"/>
      <c r="G227" s="125"/>
      <c r="H227" s="123"/>
      <c r="I227" s="157" t="s">
        <v>114</v>
      </c>
      <c r="J227" s="74">
        <v>150</v>
      </c>
    </row>
    <row r="228" spans="1:10" ht="12.75" customHeight="1">
      <c r="A228" s="240"/>
      <c r="B228" s="121"/>
      <c r="C228" s="23"/>
      <c r="D228" s="122"/>
      <c r="E228" s="122"/>
      <c r="F228" s="124"/>
      <c r="G228" s="125"/>
      <c r="H228" s="123"/>
      <c r="I228" s="159" t="s">
        <v>120</v>
      </c>
      <c r="J228" s="218">
        <v>415</v>
      </c>
    </row>
    <row r="229" spans="1:10" ht="12.75" customHeight="1" thickBot="1">
      <c r="A229" s="241"/>
      <c r="B229" s="140"/>
      <c r="C229" s="25"/>
      <c r="D229" s="138"/>
      <c r="E229" s="138"/>
      <c r="F229" s="137"/>
      <c r="G229" s="141"/>
      <c r="H229" s="139"/>
      <c r="I229" s="81" t="s">
        <v>29</v>
      </c>
      <c r="J229" s="163">
        <v>4105</v>
      </c>
    </row>
    <row r="230" spans="1:10" ht="12.75" customHeight="1" thickBot="1">
      <c r="A230" s="239" t="s">
        <v>16</v>
      </c>
      <c r="B230" s="37">
        <f>17.31*1806.39998</f>
        <v>31268.783653799997</v>
      </c>
      <c r="C230" s="22">
        <f>E230-B230</f>
        <v>-4307.303653799998</v>
      </c>
      <c r="D230" s="146"/>
      <c r="E230" s="108">
        <v>26961.48</v>
      </c>
      <c r="F230" s="44">
        <f>B230*1</f>
        <v>31268.783653799997</v>
      </c>
      <c r="G230" s="70">
        <f>(2.08+4.93+0.49+2.93)*1806.4</f>
        <v>18840.752</v>
      </c>
      <c r="H230" s="22">
        <f>F230-G230+C230</f>
        <v>8120.727999999999</v>
      </c>
      <c r="I230" s="153" t="s">
        <v>31</v>
      </c>
      <c r="J230" s="150">
        <f>3.77*1806.4</f>
        <v>6810.128000000001</v>
      </c>
    </row>
    <row r="231" spans="1:10" ht="12.75" customHeight="1">
      <c r="A231" s="240"/>
      <c r="B231" s="82"/>
      <c r="C231" s="28"/>
      <c r="D231" s="83"/>
      <c r="E231" s="86"/>
      <c r="F231" s="40"/>
      <c r="G231" s="85"/>
      <c r="H231" s="29"/>
      <c r="I231" s="156" t="s">
        <v>122</v>
      </c>
      <c r="J231" s="74">
        <v>72</v>
      </c>
    </row>
    <row r="232" spans="1:10" ht="12.75" customHeight="1">
      <c r="A232" s="240"/>
      <c r="B232" s="121"/>
      <c r="C232" s="23"/>
      <c r="D232" s="122"/>
      <c r="E232" s="123"/>
      <c r="F232" s="41"/>
      <c r="G232" s="125"/>
      <c r="H232" s="24"/>
      <c r="I232" s="120" t="s">
        <v>123</v>
      </c>
      <c r="J232" s="115">
        <v>81</v>
      </c>
    </row>
    <row r="233" spans="1:10" ht="12.75" customHeight="1">
      <c r="A233" s="240"/>
      <c r="B233" s="121"/>
      <c r="C233" s="23"/>
      <c r="D233" s="122"/>
      <c r="E233" s="123"/>
      <c r="F233" s="41"/>
      <c r="G233" s="125"/>
      <c r="H233" s="24"/>
      <c r="I233" s="76" t="s">
        <v>146</v>
      </c>
      <c r="J233" s="115">
        <v>834</v>
      </c>
    </row>
    <row r="234" spans="1:10" ht="24" customHeight="1" thickBot="1">
      <c r="A234" s="240"/>
      <c r="B234" s="121"/>
      <c r="C234" s="23"/>
      <c r="D234" s="122"/>
      <c r="E234" s="123"/>
      <c r="F234" s="41"/>
      <c r="G234" s="125"/>
      <c r="H234" s="24"/>
      <c r="I234" s="157" t="s">
        <v>124</v>
      </c>
      <c r="J234" s="115">
        <v>916</v>
      </c>
    </row>
    <row r="235" spans="1:10" ht="13.5" thickBot="1">
      <c r="A235" s="239" t="s">
        <v>17</v>
      </c>
      <c r="B235" s="37">
        <f>17.31*1806.39998</f>
        <v>31268.783653799997</v>
      </c>
      <c r="C235" s="110">
        <f>E235-B235</f>
        <v>-1203.763653799997</v>
      </c>
      <c r="D235" s="175"/>
      <c r="E235" s="136">
        <v>30065.02</v>
      </c>
      <c r="F235" s="111">
        <f>B235*1</f>
        <v>31268.783653799997</v>
      </c>
      <c r="G235" s="70">
        <f>(2.08+4.93+0.49+2.93)*1806.4</f>
        <v>18840.752</v>
      </c>
      <c r="H235" s="67">
        <f>F235-G235+C235</f>
        <v>11224.268</v>
      </c>
      <c r="I235" s="153" t="s">
        <v>31</v>
      </c>
      <c r="J235" s="150">
        <f>3.77*1806.4</f>
        <v>6810.128000000001</v>
      </c>
    </row>
    <row r="236" spans="1:10" ht="24" customHeight="1">
      <c r="A236" s="240"/>
      <c r="B236" s="56"/>
      <c r="C236" s="202"/>
      <c r="D236" s="195"/>
      <c r="E236" s="196"/>
      <c r="F236" s="205"/>
      <c r="G236" s="85"/>
      <c r="H236" s="29"/>
      <c r="I236" s="18" t="s">
        <v>125</v>
      </c>
      <c r="J236" s="192">
        <v>300</v>
      </c>
    </row>
    <row r="237" spans="1:10" ht="12.75" customHeight="1">
      <c r="A237" s="240"/>
      <c r="B237" s="198"/>
      <c r="C237" s="203"/>
      <c r="D237" s="190"/>
      <c r="E237" s="199"/>
      <c r="F237" s="206"/>
      <c r="G237" s="197"/>
      <c r="H237" s="24"/>
      <c r="I237" s="19" t="s">
        <v>126</v>
      </c>
      <c r="J237" s="192">
        <v>26</v>
      </c>
    </row>
    <row r="238" spans="1:10" ht="24" customHeight="1">
      <c r="A238" s="240"/>
      <c r="B238" s="198"/>
      <c r="C238" s="203"/>
      <c r="D238" s="190"/>
      <c r="E238" s="199"/>
      <c r="F238" s="206"/>
      <c r="G238" s="197"/>
      <c r="H238" s="24"/>
      <c r="I238" s="63" t="s">
        <v>127</v>
      </c>
      <c r="J238" s="192">
        <v>3070</v>
      </c>
    </row>
    <row r="239" spans="1:10" ht="12.75" customHeight="1" thickBot="1">
      <c r="A239" s="240"/>
      <c r="B239" s="140"/>
      <c r="C239" s="25"/>
      <c r="D239" s="138"/>
      <c r="E239" s="139"/>
      <c r="F239" s="42"/>
      <c r="G239" s="141"/>
      <c r="H239" s="26"/>
      <c r="I239" s="19" t="s">
        <v>36</v>
      </c>
      <c r="J239" s="115">
        <v>2898.15</v>
      </c>
    </row>
    <row r="240" spans="1:10" ht="12.75" customHeight="1" thickBot="1">
      <c r="A240" s="239" t="s">
        <v>18</v>
      </c>
      <c r="B240" s="37">
        <f>17.31*1806.39998</f>
        <v>31268.783653799997</v>
      </c>
      <c r="C240" s="22">
        <f>E240-B240</f>
        <v>-1501.8136537999962</v>
      </c>
      <c r="D240" s="146"/>
      <c r="E240" s="108">
        <v>29766.97</v>
      </c>
      <c r="F240" s="44">
        <f>B240*1</f>
        <v>31268.783653799997</v>
      </c>
      <c r="G240" s="70">
        <f>(2.08+4.93+0.49+2.93)*1806.4</f>
        <v>18840.752</v>
      </c>
      <c r="H240" s="22">
        <f>F240-G240+C240</f>
        <v>10926.218</v>
      </c>
      <c r="I240" s="153" t="s">
        <v>31</v>
      </c>
      <c r="J240" s="150">
        <f>3.77*1806.4</f>
        <v>6810.128000000001</v>
      </c>
    </row>
    <row r="241" spans="1:10" ht="12.75" customHeight="1">
      <c r="A241" s="240"/>
      <c r="B241" s="82"/>
      <c r="C241" s="28"/>
      <c r="D241" s="83"/>
      <c r="E241" s="86"/>
      <c r="F241" s="84"/>
      <c r="G241" s="85"/>
      <c r="H241" s="29"/>
      <c r="I241" s="76" t="s">
        <v>128</v>
      </c>
      <c r="J241" s="74">
        <v>240</v>
      </c>
    </row>
    <row r="242" spans="1:10" ht="12.75" customHeight="1">
      <c r="A242" s="240"/>
      <c r="B242" s="121"/>
      <c r="C242" s="23"/>
      <c r="D242" s="122"/>
      <c r="E242" s="123"/>
      <c r="F242" s="124"/>
      <c r="G242" s="125"/>
      <c r="H242" s="24"/>
      <c r="I242" s="18" t="s">
        <v>116</v>
      </c>
      <c r="J242" s="74">
        <v>0</v>
      </c>
    </row>
    <row r="243" spans="1:10" ht="12.75" customHeight="1">
      <c r="A243" s="240"/>
      <c r="B243" s="121"/>
      <c r="C243" s="23"/>
      <c r="D243" s="122"/>
      <c r="E243" s="123"/>
      <c r="F243" s="124"/>
      <c r="G243" s="125"/>
      <c r="H243" s="24"/>
      <c r="I243" s="76" t="s">
        <v>129</v>
      </c>
      <c r="J243" s="115">
        <v>6232.2</v>
      </c>
    </row>
    <row r="244" spans="1:10" ht="12.75" customHeight="1">
      <c r="A244" s="240"/>
      <c r="B244" s="121"/>
      <c r="C244" s="23"/>
      <c r="D244" s="122"/>
      <c r="E244" s="123"/>
      <c r="F244" s="124"/>
      <c r="G244" s="125"/>
      <c r="H244" s="24"/>
      <c r="I244" s="33" t="s">
        <v>130</v>
      </c>
      <c r="J244" s="115">
        <v>60090</v>
      </c>
    </row>
    <row r="245" spans="1:10" ht="24" customHeight="1">
      <c r="A245" s="240"/>
      <c r="B245" s="121"/>
      <c r="C245" s="23"/>
      <c r="D245" s="122"/>
      <c r="E245" s="123"/>
      <c r="F245" s="124"/>
      <c r="G245" s="125"/>
      <c r="H245" s="24"/>
      <c r="I245" s="76" t="s">
        <v>131</v>
      </c>
      <c r="J245" s="115">
        <v>140</v>
      </c>
    </row>
    <row r="246" spans="1:10" ht="24" customHeight="1" thickBot="1">
      <c r="A246" s="240"/>
      <c r="B246" s="121"/>
      <c r="C246" s="23"/>
      <c r="D246" s="122"/>
      <c r="E246" s="123"/>
      <c r="F246" s="41"/>
      <c r="G246" s="125"/>
      <c r="H246" s="24"/>
      <c r="I246" s="219" t="s">
        <v>147</v>
      </c>
      <c r="J246" s="192">
        <v>214</v>
      </c>
    </row>
    <row r="247" spans="1:10" ht="12.75" customHeight="1" thickBot="1">
      <c r="A247" s="239" t="s">
        <v>19</v>
      </c>
      <c r="B247" s="37">
        <f>17.31*1806.39998</f>
        <v>31268.783653799997</v>
      </c>
      <c r="C247" s="22">
        <f>E247-B247</f>
        <v>21.08634620000157</v>
      </c>
      <c r="D247" s="147"/>
      <c r="E247" s="108">
        <v>31289.87</v>
      </c>
      <c r="F247" s="127">
        <f>B247*1</f>
        <v>31268.783653799997</v>
      </c>
      <c r="G247" s="21">
        <f>(2.08+4.93+0.49+2.93)*1806.4</f>
        <v>18840.752</v>
      </c>
      <c r="H247" s="128">
        <f>F247-G247+C247</f>
        <v>12449.117999999999</v>
      </c>
      <c r="I247" s="153" t="s">
        <v>31</v>
      </c>
      <c r="J247" s="150">
        <f>3.77*1806.4</f>
        <v>6810.128000000001</v>
      </c>
    </row>
    <row r="248" spans="1:10" ht="12.75">
      <c r="A248" s="240"/>
      <c r="B248" s="121"/>
      <c r="C248" s="23"/>
      <c r="D248" s="92"/>
      <c r="E248" s="123"/>
      <c r="F248" s="41"/>
      <c r="G248" s="125"/>
      <c r="H248" s="24"/>
      <c r="I248" s="76" t="s">
        <v>132</v>
      </c>
      <c r="J248" s="115">
        <v>361</v>
      </c>
    </row>
    <row r="249" spans="1:10" ht="12.75">
      <c r="A249" s="240"/>
      <c r="B249" s="121"/>
      <c r="C249" s="23"/>
      <c r="D249" s="92"/>
      <c r="E249" s="123"/>
      <c r="F249" s="41"/>
      <c r="G249" s="125"/>
      <c r="H249" s="123"/>
      <c r="I249" s="193" t="s">
        <v>133</v>
      </c>
      <c r="J249" s="74">
        <v>0</v>
      </c>
    </row>
    <row r="250" spans="1:10" ht="12.75">
      <c r="A250" s="240"/>
      <c r="B250" s="121"/>
      <c r="C250" s="23"/>
      <c r="D250" s="92"/>
      <c r="E250" s="123"/>
      <c r="F250" s="41"/>
      <c r="G250" s="125"/>
      <c r="H250" s="123"/>
      <c r="I250" s="76" t="s">
        <v>134</v>
      </c>
      <c r="J250" s="115">
        <v>2812</v>
      </c>
    </row>
    <row r="251" spans="1:10" ht="35.25" customHeight="1" thickBot="1">
      <c r="A251" s="240"/>
      <c r="B251" s="121"/>
      <c r="C251" s="23"/>
      <c r="D251" s="92"/>
      <c r="E251" s="123"/>
      <c r="F251" s="41"/>
      <c r="G251" s="125"/>
      <c r="H251" s="123"/>
      <c r="I251" s="156" t="s">
        <v>150</v>
      </c>
      <c r="J251" s="115">
        <v>14</v>
      </c>
    </row>
    <row r="252" spans="1:10" ht="13.5" thickBot="1">
      <c r="A252" s="242" t="s">
        <v>20</v>
      </c>
      <c r="B252" s="37">
        <f>17.31*1806.39998</f>
        <v>31268.783653799997</v>
      </c>
      <c r="C252" s="22">
        <f>E252-B252</f>
        <v>15.666346200003318</v>
      </c>
      <c r="D252" s="171"/>
      <c r="E252" s="201">
        <v>31284.45</v>
      </c>
      <c r="F252" s="44">
        <f>B252*1</f>
        <v>31268.783653799997</v>
      </c>
      <c r="G252" s="70">
        <f>(2.08+4.93+0.49+2.93)*1806.4</f>
        <v>18840.752</v>
      </c>
      <c r="H252" s="22">
        <f>F252-G252+C252</f>
        <v>12443.698</v>
      </c>
      <c r="I252" s="153" t="s">
        <v>31</v>
      </c>
      <c r="J252" s="150">
        <f>3.77*1806.4</f>
        <v>6810.128000000001</v>
      </c>
    </row>
    <row r="253" spans="1:10" ht="12.75">
      <c r="A253" s="243"/>
      <c r="B253" s="82"/>
      <c r="C253" s="83"/>
      <c r="D253" s="93"/>
      <c r="E253" s="86"/>
      <c r="F253" s="40"/>
      <c r="G253" s="85"/>
      <c r="H253" s="86"/>
      <c r="I253" s="19" t="s">
        <v>135</v>
      </c>
      <c r="J253" s="115">
        <v>2514</v>
      </c>
    </row>
    <row r="254" spans="1:10" ht="24">
      <c r="A254" s="243"/>
      <c r="B254" s="121"/>
      <c r="C254" s="122"/>
      <c r="D254" s="92"/>
      <c r="E254" s="123"/>
      <c r="F254" s="41"/>
      <c r="G254" s="125"/>
      <c r="H254" s="123"/>
      <c r="I254" s="19" t="s">
        <v>136</v>
      </c>
      <c r="J254" s="115">
        <v>355</v>
      </c>
    </row>
    <row r="255" spans="1:10" ht="12.75" customHeight="1">
      <c r="A255" s="176"/>
      <c r="B255" s="121"/>
      <c r="C255" s="122"/>
      <c r="D255" s="92"/>
      <c r="E255" s="123"/>
      <c r="F255" s="41"/>
      <c r="G255" s="125"/>
      <c r="H255" s="123"/>
      <c r="I255" s="149" t="s">
        <v>137</v>
      </c>
      <c r="J255" s="74">
        <v>449</v>
      </c>
    </row>
    <row r="256" spans="1:10" ht="24">
      <c r="A256" s="176"/>
      <c r="B256" s="121"/>
      <c r="C256" s="122"/>
      <c r="D256" s="92"/>
      <c r="E256" s="123"/>
      <c r="F256" s="41"/>
      <c r="G256" s="125"/>
      <c r="H256" s="123"/>
      <c r="I256" s="19" t="s">
        <v>28</v>
      </c>
      <c r="J256" s="74">
        <v>850</v>
      </c>
    </row>
    <row r="257" spans="1:10" ht="12.75" customHeight="1" thickBot="1">
      <c r="A257" s="176"/>
      <c r="B257" s="121"/>
      <c r="C257" s="122"/>
      <c r="D257" s="92"/>
      <c r="E257" s="123"/>
      <c r="F257" s="41"/>
      <c r="G257" s="125"/>
      <c r="H257" s="123"/>
      <c r="I257" s="207" t="s">
        <v>93</v>
      </c>
      <c r="J257" s="78">
        <v>1123</v>
      </c>
    </row>
    <row r="258" spans="1:10" ht="12.75" customHeight="1" thickBot="1">
      <c r="A258" s="6" t="s">
        <v>21</v>
      </c>
      <c r="B258" s="51">
        <f>SUM(B195:B252)</f>
        <v>375225.357801</v>
      </c>
      <c r="C258" s="52">
        <f>SUM(C195:C252)</f>
        <v>-8613.547800999979</v>
      </c>
      <c r="D258" s="52"/>
      <c r="E258" s="53">
        <f>SUM(E195:E257)</f>
        <v>366611.81</v>
      </c>
      <c r="F258" s="204">
        <f>SUM(F195:F252)</f>
        <v>375225.357801</v>
      </c>
      <c r="G258" s="54">
        <f>SUM(G195:G252)</f>
        <v>226089.02400000006</v>
      </c>
      <c r="H258" s="55">
        <f>SUM(H195:H252)</f>
        <v>140522.786</v>
      </c>
      <c r="I258" s="177"/>
      <c r="J258" s="178"/>
    </row>
    <row r="259" spans="1:10" ht="12.75" customHeight="1" thickBot="1">
      <c r="A259" s="176"/>
      <c r="B259" s="179"/>
      <c r="C259" s="180"/>
      <c r="D259" s="180"/>
      <c r="E259" s="181"/>
      <c r="F259" s="50"/>
      <c r="G259" s="50"/>
      <c r="H259" s="50"/>
      <c r="I259" s="129" t="s">
        <v>22</v>
      </c>
      <c r="J259" s="130">
        <f>SUM(J195:J257)</f>
        <v>309384.326</v>
      </c>
    </row>
    <row r="260" spans="1:10" ht="12.75" customHeight="1" thickBot="1">
      <c r="A260" s="182"/>
      <c r="B260" s="183"/>
      <c r="C260" s="184"/>
      <c r="D260" s="184"/>
      <c r="E260" s="185"/>
      <c r="F260" s="274"/>
      <c r="G260" s="275"/>
      <c r="H260" s="275"/>
      <c r="I260" s="276"/>
      <c r="J260" s="220"/>
    </row>
    <row r="261" spans="1:10" ht="13.5" thickBot="1">
      <c r="A261" t="s">
        <v>108</v>
      </c>
      <c r="F261" s="200"/>
      <c r="G261" s="200"/>
      <c r="H261" s="200"/>
      <c r="I261" s="7" t="s">
        <v>104</v>
      </c>
      <c r="J261" s="16">
        <f>H258+J194-J259</f>
        <v>-249749.9783908047</v>
      </c>
    </row>
    <row r="262" spans="1:10" ht="15" customHeight="1">
      <c r="A262" s="253" t="s">
        <v>140</v>
      </c>
      <c r="B262" s="253"/>
      <c r="C262" s="253"/>
      <c r="D262" s="253"/>
      <c r="E262" s="253"/>
      <c r="F262" s="253"/>
      <c r="G262" s="253"/>
      <c r="H262" s="253"/>
      <c r="I262" s="253"/>
      <c r="J262" s="253"/>
    </row>
    <row r="263" spans="1:10" ht="15" customHeight="1" thickBot="1">
      <c r="A263" s="254" t="s">
        <v>25</v>
      </c>
      <c r="B263" s="254"/>
      <c r="C263" s="254"/>
      <c r="D263" s="254"/>
      <c r="E263" s="254"/>
      <c r="F263" s="254"/>
      <c r="G263" s="254"/>
      <c r="H263" s="254"/>
      <c r="I263" s="254"/>
      <c r="J263" s="254"/>
    </row>
    <row r="264" spans="1:10" ht="14.25" customHeight="1" thickBot="1">
      <c r="A264" s="255"/>
      <c r="B264" s="258" t="s">
        <v>23</v>
      </c>
      <c r="C264" s="259"/>
      <c r="D264" s="259"/>
      <c r="E264" s="260"/>
      <c r="F264" s="258" t="s">
        <v>26</v>
      </c>
      <c r="G264" s="259"/>
      <c r="H264" s="259"/>
      <c r="I264" s="259"/>
      <c r="J264" s="260"/>
    </row>
    <row r="265" spans="1:10" ht="13.5" thickBot="1">
      <c r="A265" s="256"/>
      <c r="B265" s="242" t="s">
        <v>0</v>
      </c>
      <c r="C265" s="261" t="s">
        <v>37</v>
      </c>
      <c r="D265" s="242" t="s">
        <v>1</v>
      </c>
      <c r="E265" s="242" t="s">
        <v>2</v>
      </c>
      <c r="F265" s="242" t="s">
        <v>3</v>
      </c>
      <c r="G265" s="242" t="s">
        <v>4</v>
      </c>
      <c r="H265" s="242" t="s">
        <v>5</v>
      </c>
      <c r="I265" s="248" t="s">
        <v>6</v>
      </c>
      <c r="J265" s="249"/>
    </row>
    <row r="266" spans="1:10" ht="34.5" customHeight="1" thickBot="1">
      <c r="A266" s="257"/>
      <c r="B266" s="247"/>
      <c r="C266" s="262"/>
      <c r="D266" s="247"/>
      <c r="E266" s="247"/>
      <c r="F266" s="247"/>
      <c r="G266" s="247"/>
      <c r="H266" s="240"/>
      <c r="I266" s="15" t="s">
        <v>7</v>
      </c>
      <c r="J266" s="15" t="s">
        <v>8</v>
      </c>
    </row>
    <row r="267" spans="1:10" ht="16.5" thickBot="1">
      <c r="A267" s="187" t="s">
        <v>142</v>
      </c>
      <c r="B267" s="250"/>
      <c r="C267" s="251"/>
      <c r="D267" s="251"/>
      <c r="E267" s="252"/>
      <c r="F267" s="8"/>
      <c r="G267" s="9"/>
      <c r="H267" s="9"/>
      <c r="I267" s="188" t="s">
        <v>141</v>
      </c>
      <c r="J267" s="189">
        <f>J261</f>
        <v>-249749.9783908047</v>
      </c>
    </row>
    <row r="268" spans="1:10" ht="13.5" thickBot="1">
      <c r="A268" s="242" t="s">
        <v>9</v>
      </c>
      <c r="B268" s="37">
        <f>17.31*1806.3996</f>
        <v>31268.777076</v>
      </c>
      <c r="C268" s="22">
        <f>E268-B268</f>
        <v>-3891.2370759999976</v>
      </c>
      <c r="D268" s="38"/>
      <c r="E268" s="67">
        <v>27377.54</v>
      </c>
      <c r="F268" s="68">
        <f>B268*1</f>
        <v>31268.777076</v>
      </c>
      <c r="G268" s="70">
        <f>(2.08+4.93+0.49+2.93)*1806.4</f>
        <v>18840.752</v>
      </c>
      <c r="H268" s="39">
        <f>F268-G268+C268</f>
        <v>8536.788</v>
      </c>
      <c r="I268" s="153" t="s">
        <v>31</v>
      </c>
      <c r="J268" s="232">
        <f>3.77*1806.4</f>
        <v>6810.128000000001</v>
      </c>
    </row>
    <row r="269" spans="1:10" ht="12.75">
      <c r="A269" s="240"/>
      <c r="B269" s="82"/>
      <c r="C269" s="83"/>
      <c r="D269" s="83"/>
      <c r="E269" s="86"/>
      <c r="F269" s="84"/>
      <c r="G269" s="85"/>
      <c r="H269" s="83"/>
      <c r="I269" s="19" t="s">
        <v>152</v>
      </c>
      <c r="J269" s="222">
        <v>1500</v>
      </c>
    </row>
    <row r="270" spans="1:10" ht="36">
      <c r="A270" s="240"/>
      <c r="B270" s="121"/>
      <c r="C270" s="122"/>
      <c r="D270" s="122"/>
      <c r="E270" s="123"/>
      <c r="F270" s="124"/>
      <c r="G270" s="125"/>
      <c r="H270" s="122"/>
      <c r="I270" s="94" t="s">
        <v>153</v>
      </c>
      <c r="J270" s="222">
        <v>1127.5</v>
      </c>
    </row>
    <row r="271" spans="1:10" ht="13.5" customHeight="1">
      <c r="A271" s="240"/>
      <c r="B271" s="121"/>
      <c r="C271" s="122"/>
      <c r="D271" s="122"/>
      <c r="E271" s="123"/>
      <c r="F271" s="124"/>
      <c r="G271" s="125"/>
      <c r="H271" s="122"/>
      <c r="I271" s="149" t="s">
        <v>185</v>
      </c>
      <c r="J271" s="222">
        <v>300</v>
      </c>
    </row>
    <row r="272" spans="1:10" ht="24">
      <c r="A272" s="240"/>
      <c r="B272" s="121"/>
      <c r="C272" s="122"/>
      <c r="D272" s="122"/>
      <c r="E272" s="123"/>
      <c r="F272" s="124"/>
      <c r="G272" s="125"/>
      <c r="H272" s="122"/>
      <c r="I272" s="157" t="s">
        <v>154</v>
      </c>
      <c r="J272" s="192">
        <v>3762</v>
      </c>
    </row>
    <row r="273" spans="1:10" ht="13.5" thickBot="1">
      <c r="A273" s="240"/>
      <c r="B273" s="140"/>
      <c r="C273" s="138"/>
      <c r="D273" s="138"/>
      <c r="E273" s="139"/>
      <c r="F273" s="137"/>
      <c r="G273" s="141"/>
      <c r="H273" s="138"/>
      <c r="I273" s="221" t="s">
        <v>155</v>
      </c>
      <c r="J273" s="223">
        <v>1500</v>
      </c>
    </row>
    <row r="274" spans="1:10" ht="13.5" thickBot="1">
      <c r="A274" s="239" t="s">
        <v>10</v>
      </c>
      <c r="B274" s="37">
        <f>17.31*1806.3996</f>
        <v>31268.777076</v>
      </c>
      <c r="C274" s="22">
        <f>E274-B274</f>
        <v>911.4429240000027</v>
      </c>
      <c r="D274" s="38"/>
      <c r="E274" s="69">
        <v>32180.22</v>
      </c>
      <c r="F274" s="44">
        <f>B274*1</f>
        <v>31268.777076</v>
      </c>
      <c r="G274" s="70">
        <f>(2.08+4.93+0.49+2.93)*1806.4</f>
        <v>18840.752</v>
      </c>
      <c r="H274" s="22">
        <f>F274-G274+C274</f>
        <v>13339.468</v>
      </c>
      <c r="I274" s="149" t="s">
        <v>31</v>
      </c>
      <c r="J274" s="150">
        <f>3.77*1806.4</f>
        <v>6810.128000000001</v>
      </c>
    </row>
    <row r="275" spans="1:10" ht="24">
      <c r="A275" s="240"/>
      <c r="B275" s="82"/>
      <c r="C275" s="83"/>
      <c r="D275" s="83"/>
      <c r="E275" s="83"/>
      <c r="F275" s="84"/>
      <c r="G275" s="85"/>
      <c r="H275" s="86"/>
      <c r="I275" s="149" t="s">
        <v>186</v>
      </c>
      <c r="J275" s="154">
        <v>450</v>
      </c>
    </row>
    <row r="276" spans="1:10" ht="24">
      <c r="A276" s="240"/>
      <c r="B276" s="121"/>
      <c r="C276" s="122"/>
      <c r="D276" s="122"/>
      <c r="E276" s="122"/>
      <c r="F276" s="124"/>
      <c r="G276" s="125"/>
      <c r="H276" s="123"/>
      <c r="I276" s="157" t="s">
        <v>156</v>
      </c>
      <c r="J276" s="115">
        <v>624</v>
      </c>
    </row>
    <row r="277" spans="1:10" ht="24">
      <c r="A277" s="240"/>
      <c r="B277" s="121"/>
      <c r="C277" s="122"/>
      <c r="D277" s="122"/>
      <c r="E277" s="122"/>
      <c r="F277" s="124"/>
      <c r="G277" s="125"/>
      <c r="H277" s="123"/>
      <c r="I277" s="19" t="s">
        <v>178</v>
      </c>
      <c r="J277" s="115">
        <v>1420</v>
      </c>
    </row>
    <row r="278" spans="1:10" ht="12.75">
      <c r="A278" s="240"/>
      <c r="B278" s="121"/>
      <c r="C278" s="122"/>
      <c r="D278" s="122"/>
      <c r="E278" s="122"/>
      <c r="F278" s="124"/>
      <c r="G278" s="125"/>
      <c r="H278" s="123"/>
      <c r="I278" s="217" t="s">
        <v>157</v>
      </c>
      <c r="J278" s="115">
        <v>245</v>
      </c>
    </row>
    <row r="279" spans="1:10" ht="36">
      <c r="A279" s="240"/>
      <c r="B279" s="121"/>
      <c r="C279" s="122"/>
      <c r="D279" s="122"/>
      <c r="E279" s="122"/>
      <c r="F279" s="124"/>
      <c r="G279" s="125"/>
      <c r="H279" s="123"/>
      <c r="I279" s="217" t="s">
        <v>187</v>
      </c>
      <c r="J279" s="115">
        <v>197</v>
      </c>
    </row>
    <row r="280" spans="1:10" ht="24.75" thickBot="1">
      <c r="A280" s="240"/>
      <c r="B280" s="121"/>
      <c r="C280" s="122"/>
      <c r="D280" s="122"/>
      <c r="E280" s="122"/>
      <c r="F280" s="124"/>
      <c r="G280" s="125"/>
      <c r="H280" s="123"/>
      <c r="I280" s="19" t="s">
        <v>158</v>
      </c>
      <c r="J280" s="115">
        <v>2692</v>
      </c>
    </row>
    <row r="281" spans="1:10" ht="13.5" thickBot="1">
      <c r="A281" s="239" t="s">
        <v>11</v>
      </c>
      <c r="B281" s="37">
        <f>17.31*1806.3996</f>
        <v>31268.777076</v>
      </c>
      <c r="C281" s="22">
        <f>E281-B281</f>
        <v>2875.9329240000006</v>
      </c>
      <c r="D281" s="43"/>
      <c r="E281" s="22">
        <v>34144.71</v>
      </c>
      <c r="F281" s="44">
        <f>B281*1</f>
        <v>31268.777076</v>
      </c>
      <c r="G281" s="21">
        <f>(2.08+4.93+0.49+2.93)*1806.4</f>
        <v>18840.752</v>
      </c>
      <c r="H281" s="22">
        <f>F281-G281+C281</f>
        <v>15303.957999999999</v>
      </c>
      <c r="I281" s="153" t="s">
        <v>31</v>
      </c>
      <c r="J281" s="150">
        <f>3.77*1806.4</f>
        <v>6810.128000000001</v>
      </c>
    </row>
    <row r="282" spans="1:10" ht="60">
      <c r="A282" s="240"/>
      <c r="B282" s="121"/>
      <c r="C282" s="122"/>
      <c r="D282" s="122"/>
      <c r="E282" s="122"/>
      <c r="F282" s="124"/>
      <c r="G282" s="125"/>
      <c r="H282" s="123"/>
      <c r="I282" s="224" t="s">
        <v>159</v>
      </c>
      <c r="J282" s="115">
        <v>2193</v>
      </c>
    </row>
    <row r="283" spans="1:10" ht="24">
      <c r="A283" s="240"/>
      <c r="B283" s="121"/>
      <c r="C283" s="122"/>
      <c r="D283" s="122"/>
      <c r="E283" s="122"/>
      <c r="F283" s="124"/>
      <c r="G283" s="125"/>
      <c r="H283" s="123"/>
      <c r="I283" s="149" t="s">
        <v>186</v>
      </c>
      <c r="J283" s="154">
        <v>450</v>
      </c>
    </row>
    <row r="284" spans="1:10" ht="12.75">
      <c r="A284" s="240"/>
      <c r="B284" s="121"/>
      <c r="C284" s="122"/>
      <c r="D284" s="122"/>
      <c r="E284" s="122"/>
      <c r="F284" s="124"/>
      <c r="G284" s="125"/>
      <c r="H284" s="123"/>
      <c r="I284" s="224" t="s">
        <v>160</v>
      </c>
      <c r="J284" s="115">
        <v>600</v>
      </c>
    </row>
    <row r="285" spans="1:10" ht="25.5" customHeight="1">
      <c r="A285" s="240"/>
      <c r="B285" s="121"/>
      <c r="C285" s="122"/>
      <c r="D285" s="122"/>
      <c r="E285" s="122"/>
      <c r="F285" s="124"/>
      <c r="G285" s="125"/>
      <c r="H285" s="123"/>
      <c r="I285" s="18" t="s">
        <v>188</v>
      </c>
      <c r="J285" s="115">
        <v>72</v>
      </c>
    </row>
    <row r="286" spans="1:10" ht="24">
      <c r="A286" s="240"/>
      <c r="B286" s="121"/>
      <c r="C286" s="122"/>
      <c r="D286" s="122"/>
      <c r="E286" s="122"/>
      <c r="F286" s="124"/>
      <c r="G286" s="125"/>
      <c r="H286" s="123"/>
      <c r="I286" s="19" t="s">
        <v>161</v>
      </c>
      <c r="J286" s="115">
        <v>5383</v>
      </c>
    </row>
    <row r="287" spans="1:10" ht="36">
      <c r="A287" s="240"/>
      <c r="B287" s="121"/>
      <c r="C287" s="122"/>
      <c r="D287" s="122"/>
      <c r="E287" s="122"/>
      <c r="F287" s="124"/>
      <c r="G287" s="125"/>
      <c r="H287" s="123"/>
      <c r="I287" s="157" t="s">
        <v>162</v>
      </c>
      <c r="J287" s="115">
        <v>2042</v>
      </c>
    </row>
    <row r="288" spans="1:10" ht="13.5" thickBot="1">
      <c r="A288" s="241"/>
      <c r="B288" s="140"/>
      <c r="C288" s="138"/>
      <c r="D288" s="138"/>
      <c r="E288" s="138"/>
      <c r="F288" s="137"/>
      <c r="G288" s="141"/>
      <c r="H288" s="139"/>
      <c r="I288" s="221" t="s">
        <v>163</v>
      </c>
      <c r="J288" s="167">
        <v>14100</v>
      </c>
    </row>
    <row r="289" spans="1:10" ht="13.5" thickBot="1">
      <c r="A289" s="239" t="s">
        <v>12</v>
      </c>
      <c r="B289" s="37">
        <f>17.31*1806.3996</f>
        <v>31268.777076</v>
      </c>
      <c r="C289" s="22">
        <f>E289-B289</f>
        <v>1622.362924000001</v>
      </c>
      <c r="D289" s="43"/>
      <c r="E289" s="69">
        <v>32891.14</v>
      </c>
      <c r="F289" s="44">
        <f>B289*1</f>
        <v>31268.777076</v>
      </c>
      <c r="G289" s="70">
        <f>(2.08+4.93+0.49+2.93)*1806.4</f>
        <v>18840.752</v>
      </c>
      <c r="H289" s="22">
        <f>F289-G289+C289</f>
        <v>14050.387999999999</v>
      </c>
      <c r="I289" s="153" t="s">
        <v>31</v>
      </c>
      <c r="J289" s="150">
        <f>3.77*1806.4</f>
        <v>6810.128000000001</v>
      </c>
    </row>
    <row r="290" spans="1:10" ht="13.5" thickBot="1">
      <c r="A290" s="241"/>
      <c r="B290" s="233"/>
      <c r="C290" s="234"/>
      <c r="D290" s="234"/>
      <c r="E290" s="234"/>
      <c r="F290" s="235"/>
      <c r="G290" s="236"/>
      <c r="H290" s="237"/>
      <c r="I290" s="225" t="s">
        <v>24</v>
      </c>
      <c r="J290" s="238" t="s">
        <v>24</v>
      </c>
    </row>
    <row r="291" spans="1:10" ht="13.5" thickBot="1">
      <c r="A291" s="239" t="s">
        <v>13</v>
      </c>
      <c r="B291" s="37">
        <f>18.17*1806.3996</f>
        <v>32822.280732</v>
      </c>
      <c r="C291" s="22">
        <f>E291-B291</f>
        <v>-1668.7407319999984</v>
      </c>
      <c r="D291" s="38"/>
      <c r="E291" s="69">
        <v>31153.54</v>
      </c>
      <c r="F291" s="44">
        <f>B291*1</f>
        <v>32822.280732</v>
      </c>
      <c r="G291" s="70">
        <f>(2.08+4.93+0.49+2.93)*1806.4</f>
        <v>18840.752</v>
      </c>
      <c r="H291" s="22">
        <f>F291-G291+C291</f>
        <v>12312.788</v>
      </c>
      <c r="I291" s="149" t="s">
        <v>31</v>
      </c>
      <c r="J291" s="150">
        <f>3.77*1806.4</f>
        <v>6810.128000000001</v>
      </c>
    </row>
    <row r="292" spans="1:10" ht="12.75">
      <c r="A292" s="240"/>
      <c r="B292" s="82"/>
      <c r="C292" s="83"/>
      <c r="D292" s="83"/>
      <c r="E292" s="83"/>
      <c r="F292" s="84"/>
      <c r="G292" s="85"/>
      <c r="H292" s="86"/>
      <c r="I292" s="157" t="s">
        <v>189</v>
      </c>
      <c r="J292" s="115">
        <v>3000</v>
      </c>
    </row>
    <row r="293" spans="1:10" ht="72.75" thickBot="1">
      <c r="A293" s="240"/>
      <c r="B293" s="121"/>
      <c r="C293" s="122"/>
      <c r="D293" s="122"/>
      <c r="E293" s="122"/>
      <c r="F293" s="124"/>
      <c r="G293" s="125"/>
      <c r="H293" s="123"/>
      <c r="I293" s="157" t="s">
        <v>164</v>
      </c>
      <c r="J293" s="115">
        <v>1961</v>
      </c>
    </row>
    <row r="294" spans="1:10" ht="13.5" thickBot="1">
      <c r="A294" s="239" t="s">
        <v>14</v>
      </c>
      <c r="B294" s="37">
        <f>18.17*1806.3996</f>
        <v>32822.280732</v>
      </c>
      <c r="C294" s="22">
        <f>E294-B294</f>
        <v>-1373.8807319999978</v>
      </c>
      <c r="D294" s="43"/>
      <c r="E294" s="69">
        <v>31448.4</v>
      </c>
      <c r="F294" s="44">
        <f>B294*1</f>
        <v>32822.280732</v>
      </c>
      <c r="G294" s="70">
        <f>(2.08+4.93+0.49+2.93)*1806.4</f>
        <v>18840.752</v>
      </c>
      <c r="H294" s="22">
        <f>F294-G294+C294</f>
        <v>12607.648000000001</v>
      </c>
      <c r="I294" s="153" t="s">
        <v>31</v>
      </c>
      <c r="J294" s="150">
        <f>3.77*1806.4</f>
        <v>6810.128000000001</v>
      </c>
    </row>
    <row r="295" spans="1:10" ht="12.75">
      <c r="A295" s="240"/>
      <c r="B295" s="82"/>
      <c r="C295" s="83"/>
      <c r="D295" s="83"/>
      <c r="E295" s="83"/>
      <c r="F295" s="84"/>
      <c r="G295" s="85"/>
      <c r="H295" s="86"/>
      <c r="I295" s="226" t="s">
        <v>165</v>
      </c>
      <c r="J295" s="154">
        <v>0</v>
      </c>
    </row>
    <row r="296" spans="1:10" ht="13.5" thickBot="1">
      <c r="A296" s="240"/>
      <c r="B296" s="121"/>
      <c r="C296" s="122"/>
      <c r="D296" s="122"/>
      <c r="E296" s="122"/>
      <c r="F296" s="124"/>
      <c r="G296" s="125"/>
      <c r="H296" s="123"/>
      <c r="I296" s="19" t="s">
        <v>36</v>
      </c>
      <c r="J296" s="75">
        <v>2705</v>
      </c>
    </row>
    <row r="297" spans="1:10" ht="13.5" thickBot="1">
      <c r="A297" s="239" t="s">
        <v>15</v>
      </c>
      <c r="B297" s="37">
        <f>18.17*1806.3996</f>
        <v>32822.280732</v>
      </c>
      <c r="C297" s="22">
        <f>E297-B297</f>
        <v>-447.09073200000057</v>
      </c>
      <c r="D297" s="43"/>
      <c r="E297" s="69">
        <v>32375.19</v>
      </c>
      <c r="F297" s="44">
        <f>B297*1</f>
        <v>32822.280732</v>
      </c>
      <c r="G297" s="70">
        <f>(2.08+4.93+0.49+2.93)*1806.4</f>
        <v>18840.752</v>
      </c>
      <c r="H297" s="22">
        <f>F297-G297+C297</f>
        <v>13534.437999999998</v>
      </c>
      <c r="I297" s="161" t="s">
        <v>31</v>
      </c>
      <c r="J297" s="150">
        <f>3.77*1806.4</f>
        <v>6810.128000000001</v>
      </c>
    </row>
    <row r="298" spans="1:10" ht="36">
      <c r="A298" s="240"/>
      <c r="B298" s="82"/>
      <c r="C298" s="83"/>
      <c r="D298" s="83"/>
      <c r="E298" s="83"/>
      <c r="F298" s="84"/>
      <c r="G298" s="85"/>
      <c r="H298" s="86"/>
      <c r="I298" s="157" t="s">
        <v>168</v>
      </c>
      <c r="J298" s="115">
        <v>2270</v>
      </c>
    </row>
    <row r="299" spans="1:10" ht="12.75">
      <c r="A299" s="240"/>
      <c r="B299" s="121"/>
      <c r="C299" s="122"/>
      <c r="D299" s="122"/>
      <c r="E299" s="122"/>
      <c r="F299" s="124"/>
      <c r="G299" s="125"/>
      <c r="H299" s="123"/>
      <c r="I299" s="19" t="s">
        <v>36</v>
      </c>
      <c r="J299" s="74">
        <v>2805</v>
      </c>
    </row>
    <row r="300" spans="1:10" ht="13.5" thickBot="1">
      <c r="A300" s="241"/>
      <c r="B300" s="140"/>
      <c r="C300" s="138"/>
      <c r="D300" s="138"/>
      <c r="E300" s="138"/>
      <c r="F300" s="137"/>
      <c r="G300" s="141"/>
      <c r="H300" s="139"/>
      <c r="I300" s="81" t="s">
        <v>29</v>
      </c>
      <c r="J300" s="163">
        <v>4105</v>
      </c>
    </row>
    <row r="301" spans="1:10" ht="13.5" thickBot="1">
      <c r="A301" s="239" t="s">
        <v>16</v>
      </c>
      <c r="B301" s="37">
        <f>18.17*1806.3996</f>
        <v>32822.280732</v>
      </c>
      <c r="C301" s="22">
        <f>E301-B301</f>
        <v>5111.889267999999</v>
      </c>
      <c r="D301" s="43"/>
      <c r="E301" s="108">
        <v>37934.17</v>
      </c>
      <c r="F301" s="44">
        <f>B301*1</f>
        <v>32822.280732</v>
      </c>
      <c r="G301" s="70">
        <f>(2.08+4.93+0.49+2.93)*1806.4</f>
        <v>18840.752</v>
      </c>
      <c r="H301" s="22">
        <f>F301-G301+C301</f>
        <v>19093.417999999998</v>
      </c>
      <c r="I301" s="153" t="s">
        <v>31</v>
      </c>
      <c r="J301" s="150">
        <f>3.77*1806.4</f>
        <v>6810.128000000001</v>
      </c>
    </row>
    <row r="302" spans="1:10" ht="24.75" thickBot="1">
      <c r="A302" s="240"/>
      <c r="B302" s="82"/>
      <c r="C302" s="83"/>
      <c r="D302" s="83"/>
      <c r="E302" s="86"/>
      <c r="F302" s="84"/>
      <c r="G302" s="85"/>
      <c r="H302" s="86"/>
      <c r="I302" s="227" t="s">
        <v>166</v>
      </c>
      <c r="J302" s="115">
        <v>446</v>
      </c>
    </row>
    <row r="303" spans="1:10" ht="13.5" thickBot="1">
      <c r="A303" s="239" t="s">
        <v>17</v>
      </c>
      <c r="B303" s="37">
        <f>18.17*1806.399</f>
        <v>32822.26983</v>
      </c>
      <c r="C303" s="110">
        <f>E303-B303</f>
        <v>-3258.6398299999964</v>
      </c>
      <c r="D303" s="135"/>
      <c r="E303" s="136">
        <v>29563.63</v>
      </c>
      <c r="F303" s="111">
        <f>B303*1</f>
        <v>32822.26983</v>
      </c>
      <c r="G303" s="70">
        <f>(2.08+4.93+0.49+2.93)*1806.4</f>
        <v>18840.752</v>
      </c>
      <c r="H303" s="67">
        <f>F303-G303+C303</f>
        <v>10722.878</v>
      </c>
      <c r="I303" s="153" t="s">
        <v>31</v>
      </c>
      <c r="J303" s="150">
        <f>3.77*1806.4</f>
        <v>6810.128000000001</v>
      </c>
    </row>
    <row r="304" spans="1:10" ht="13.5" thickBot="1">
      <c r="A304" s="240"/>
      <c r="B304" s="82"/>
      <c r="C304" s="195"/>
      <c r="D304" s="195"/>
      <c r="E304" s="196"/>
      <c r="F304" s="210"/>
      <c r="G304" s="85"/>
      <c r="H304" s="86"/>
      <c r="I304" s="211" t="s">
        <v>24</v>
      </c>
      <c r="J304" s="209" t="s">
        <v>24</v>
      </c>
    </row>
    <row r="305" spans="1:10" ht="13.5" thickBot="1">
      <c r="A305" s="239" t="s">
        <v>18</v>
      </c>
      <c r="B305" s="37">
        <f>18.17*1806.399</f>
        <v>32822.26983</v>
      </c>
      <c r="C305" s="22">
        <f>E305-B305</f>
        <v>717.2001700000037</v>
      </c>
      <c r="D305" s="43"/>
      <c r="E305" s="108">
        <v>33539.47</v>
      </c>
      <c r="F305" s="44">
        <f>B305*1</f>
        <v>32822.26983</v>
      </c>
      <c r="G305" s="70">
        <f>(2.08+4.93+0.49+2.93)*1806.4</f>
        <v>18840.752</v>
      </c>
      <c r="H305" s="22">
        <f>F305-G305+C305</f>
        <v>14698.718</v>
      </c>
      <c r="I305" s="153" t="s">
        <v>31</v>
      </c>
      <c r="J305" s="150">
        <f>3.77*1806.4</f>
        <v>6810.128000000001</v>
      </c>
    </row>
    <row r="306" spans="1:10" ht="12.75">
      <c r="A306" s="240"/>
      <c r="B306" s="82"/>
      <c r="C306" s="83"/>
      <c r="D306" s="83"/>
      <c r="E306" s="86"/>
      <c r="F306" s="84"/>
      <c r="G306" s="85"/>
      <c r="H306" s="86"/>
      <c r="I306" s="157" t="s">
        <v>173</v>
      </c>
      <c r="J306" s="74">
        <v>3000</v>
      </c>
    </row>
    <row r="307" spans="1:10" ht="24">
      <c r="A307" s="240"/>
      <c r="B307" s="121"/>
      <c r="C307" s="122"/>
      <c r="D307" s="122"/>
      <c r="E307" s="123"/>
      <c r="F307" s="124"/>
      <c r="G307" s="125"/>
      <c r="H307" s="123"/>
      <c r="I307" s="76" t="s">
        <v>167</v>
      </c>
      <c r="J307" s="74">
        <v>700</v>
      </c>
    </row>
    <row r="308" spans="1:10" ht="48">
      <c r="A308" s="240"/>
      <c r="B308" s="121"/>
      <c r="C308" s="122"/>
      <c r="D308" s="122"/>
      <c r="E308" s="123"/>
      <c r="F308" s="124"/>
      <c r="G308" s="125"/>
      <c r="H308" s="123"/>
      <c r="I308" s="157" t="s">
        <v>169</v>
      </c>
      <c r="J308" s="115">
        <v>588</v>
      </c>
    </row>
    <row r="309" spans="1:10" ht="24">
      <c r="A309" s="240"/>
      <c r="B309" s="121"/>
      <c r="C309" s="122"/>
      <c r="D309" s="122"/>
      <c r="E309" s="123"/>
      <c r="F309" s="124"/>
      <c r="G309" s="125"/>
      <c r="H309" s="123"/>
      <c r="I309" s="33" t="s">
        <v>170</v>
      </c>
      <c r="J309" s="115">
        <v>1120</v>
      </c>
    </row>
    <row r="310" spans="1:10" ht="24">
      <c r="A310" s="240"/>
      <c r="B310" s="121"/>
      <c r="C310" s="122"/>
      <c r="D310" s="122"/>
      <c r="E310" s="123"/>
      <c r="F310" s="124"/>
      <c r="G310" s="125"/>
      <c r="H310" s="123"/>
      <c r="I310" s="157" t="s">
        <v>192</v>
      </c>
      <c r="J310" s="115">
        <v>2080.5</v>
      </c>
    </row>
    <row r="311" spans="1:10" ht="24.75" thickBot="1">
      <c r="A311" s="240"/>
      <c r="B311" s="121"/>
      <c r="C311" s="122"/>
      <c r="D311" s="122"/>
      <c r="E311" s="123"/>
      <c r="F311" s="124"/>
      <c r="G311" s="125"/>
      <c r="H311" s="123"/>
      <c r="I311" s="157" t="s">
        <v>171</v>
      </c>
      <c r="J311" s="115">
        <v>750</v>
      </c>
    </row>
    <row r="312" spans="1:10" ht="13.5" thickBot="1">
      <c r="A312" s="239" t="s">
        <v>19</v>
      </c>
      <c r="B312" s="37">
        <f>18.17*1806.399</f>
        <v>32822.26983</v>
      </c>
      <c r="C312" s="22">
        <f>E312-B312</f>
        <v>-3878.8998299999985</v>
      </c>
      <c r="D312" s="57"/>
      <c r="E312" s="108">
        <v>28943.37</v>
      </c>
      <c r="F312" s="127">
        <f>B312*1</f>
        <v>32822.26983</v>
      </c>
      <c r="G312" s="21">
        <f>(2.08+4.93+0.49+2.93)*1806.4</f>
        <v>18840.752</v>
      </c>
      <c r="H312" s="128">
        <f>F312-G312+C312</f>
        <v>10102.617999999999</v>
      </c>
      <c r="I312" s="153" t="s">
        <v>31</v>
      </c>
      <c r="J312" s="150">
        <f>3.77*1806.4</f>
        <v>6810.128000000001</v>
      </c>
    </row>
    <row r="313" spans="1:10" ht="14.25" customHeight="1">
      <c r="A313" s="240"/>
      <c r="B313" s="60"/>
      <c r="C313" s="23"/>
      <c r="D313" s="46"/>
      <c r="E313" s="228"/>
      <c r="F313" s="229"/>
      <c r="G313" s="125"/>
      <c r="H313" s="230"/>
      <c r="I313" s="18" t="s">
        <v>190</v>
      </c>
      <c r="J313" s="192">
        <v>66</v>
      </c>
    </row>
    <row r="314" spans="1:10" ht="12.75">
      <c r="A314" s="240"/>
      <c r="B314" s="60"/>
      <c r="C314" s="23"/>
      <c r="D314" s="46"/>
      <c r="E314" s="228"/>
      <c r="F314" s="229"/>
      <c r="G314" s="125"/>
      <c r="H314" s="230"/>
      <c r="I314" s="156" t="s">
        <v>191</v>
      </c>
      <c r="J314" s="192">
        <v>25</v>
      </c>
    </row>
    <row r="315" spans="1:10" ht="12.75">
      <c r="A315" s="240"/>
      <c r="B315" s="60"/>
      <c r="C315" s="23"/>
      <c r="D315" s="46"/>
      <c r="E315" s="228"/>
      <c r="F315" s="229"/>
      <c r="G315" s="125"/>
      <c r="H315" s="230"/>
      <c r="I315" s="149" t="s">
        <v>172</v>
      </c>
      <c r="J315" s="192">
        <v>750</v>
      </c>
    </row>
    <row r="316" spans="1:10" ht="24">
      <c r="A316" s="240"/>
      <c r="B316" s="121"/>
      <c r="C316" s="122"/>
      <c r="D316" s="92"/>
      <c r="E316" s="123"/>
      <c r="F316" s="124"/>
      <c r="G316" s="125"/>
      <c r="H316" s="123"/>
      <c r="I316" s="149" t="s">
        <v>186</v>
      </c>
      <c r="J316" s="74">
        <v>450</v>
      </c>
    </row>
    <row r="317" spans="1:10" ht="24">
      <c r="A317" s="240"/>
      <c r="B317" s="121"/>
      <c r="C317" s="122"/>
      <c r="D317" s="92"/>
      <c r="E317" s="123"/>
      <c r="F317" s="124"/>
      <c r="G317" s="125"/>
      <c r="H317" s="123"/>
      <c r="I317" s="157" t="s">
        <v>175</v>
      </c>
      <c r="J317" s="115">
        <v>1045</v>
      </c>
    </row>
    <row r="318" spans="1:10" ht="13.5" thickBot="1">
      <c r="A318" s="241"/>
      <c r="B318" s="140"/>
      <c r="C318" s="138"/>
      <c r="D318" s="144"/>
      <c r="E318" s="139"/>
      <c r="F318" s="137"/>
      <c r="G318" s="141"/>
      <c r="H318" s="139"/>
      <c r="I318" s="221" t="s">
        <v>174</v>
      </c>
      <c r="J318" s="74">
        <v>2600</v>
      </c>
    </row>
    <row r="319" spans="1:10" ht="13.5" thickBot="1">
      <c r="A319" s="242" t="s">
        <v>20</v>
      </c>
      <c r="B319" s="37">
        <f>18.17*1806.399</f>
        <v>32822.26983</v>
      </c>
      <c r="C319" s="22">
        <f>E319-B319</f>
        <v>5373.650170000001</v>
      </c>
      <c r="D319" s="231"/>
      <c r="E319" s="201">
        <v>38195.92</v>
      </c>
      <c r="F319" s="44">
        <f>B319*1</f>
        <v>32822.26983</v>
      </c>
      <c r="G319" s="70">
        <f>(2.08+4.93+0.49+2.93)*1806.4</f>
        <v>18840.752</v>
      </c>
      <c r="H319" s="22">
        <f>F319-G319+C319</f>
        <v>19355.167999999998</v>
      </c>
      <c r="I319" s="153" t="s">
        <v>31</v>
      </c>
      <c r="J319" s="150">
        <f>3.77*1806.4</f>
        <v>6810.128000000001</v>
      </c>
    </row>
    <row r="320" spans="1:10" ht="36">
      <c r="A320" s="243"/>
      <c r="B320" s="82"/>
      <c r="C320" s="83"/>
      <c r="D320" s="93"/>
      <c r="E320" s="86"/>
      <c r="F320" s="84"/>
      <c r="G320" s="85"/>
      <c r="H320" s="86"/>
      <c r="I320" s="33" t="s">
        <v>176</v>
      </c>
      <c r="J320" s="115">
        <v>1163</v>
      </c>
    </row>
    <row r="321" spans="1:10" ht="24">
      <c r="A321" s="243"/>
      <c r="B321" s="121"/>
      <c r="C321" s="122"/>
      <c r="D321" s="92"/>
      <c r="E321" s="123"/>
      <c r="F321" s="124"/>
      <c r="G321" s="125"/>
      <c r="H321" s="123"/>
      <c r="I321" s="157" t="s">
        <v>177</v>
      </c>
      <c r="J321" s="115">
        <v>3360</v>
      </c>
    </row>
    <row r="322" spans="1:10" ht="24">
      <c r="A322" s="5"/>
      <c r="B322" s="121"/>
      <c r="C322" s="122"/>
      <c r="D322" s="92"/>
      <c r="E322" s="123"/>
      <c r="F322" s="124"/>
      <c r="G322" s="125"/>
      <c r="H322" s="123"/>
      <c r="I322" s="18" t="s">
        <v>184</v>
      </c>
      <c r="J322" s="115">
        <v>198</v>
      </c>
    </row>
    <row r="323" spans="1:10" ht="24">
      <c r="A323" s="5"/>
      <c r="B323" s="121"/>
      <c r="C323" s="122"/>
      <c r="D323" s="92"/>
      <c r="E323" s="123"/>
      <c r="F323" s="124"/>
      <c r="G323" s="125"/>
      <c r="H323" s="123"/>
      <c r="I323" s="19" t="s">
        <v>179</v>
      </c>
      <c r="J323" s="115">
        <v>3500</v>
      </c>
    </row>
    <row r="324" spans="1:10" ht="24">
      <c r="A324" s="5"/>
      <c r="B324" s="121"/>
      <c r="C324" s="122"/>
      <c r="D324" s="92"/>
      <c r="E324" s="123"/>
      <c r="F324" s="124"/>
      <c r="G324" s="125"/>
      <c r="H324" s="123"/>
      <c r="I324" s="149" t="s">
        <v>186</v>
      </c>
      <c r="J324" s="115">
        <v>450</v>
      </c>
    </row>
    <row r="325" spans="1:10" ht="12.75">
      <c r="A325" s="5"/>
      <c r="B325" s="121"/>
      <c r="C325" s="122"/>
      <c r="D325" s="92"/>
      <c r="E325" s="123"/>
      <c r="F325" s="124"/>
      <c r="G325" s="125"/>
      <c r="H325" s="123"/>
      <c r="I325" s="157" t="s">
        <v>180</v>
      </c>
      <c r="J325" s="115">
        <v>3200</v>
      </c>
    </row>
    <row r="326" spans="1:10" ht="24">
      <c r="A326" s="5"/>
      <c r="B326" s="121"/>
      <c r="C326" s="122"/>
      <c r="D326" s="92"/>
      <c r="E326" s="123"/>
      <c r="F326" s="124"/>
      <c r="G326" s="125"/>
      <c r="H326" s="123"/>
      <c r="I326" s="157" t="s">
        <v>181</v>
      </c>
      <c r="J326" s="115">
        <v>326</v>
      </c>
    </row>
    <row r="327" spans="1:10" ht="12.75">
      <c r="A327" s="5"/>
      <c r="B327" s="121"/>
      <c r="C327" s="122"/>
      <c r="D327" s="92"/>
      <c r="E327" s="123"/>
      <c r="F327" s="124"/>
      <c r="G327" s="125"/>
      <c r="H327" s="123"/>
      <c r="I327" s="94" t="s">
        <v>182</v>
      </c>
      <c r="J327" s="115">
        <v>456</v>
      </c>
    </row>
    <row r="328" spans="1:10" ht="13.5" thickBot="1">
      <c r="A328" s="14"/>
      <c r="B328" s="140"/>
      <c r="C328" s="138"/>
      <c r="D328" s="144"/>
      <c r="E328" s="139"/>
      <c r="F328" s="137"/>
      <c r="G328" s="141"/>
      <c r="H328" s="139"/>
      <c r="I328" s="133" t="s">
        <v>183</v>
      </c>
      <c r="J328" s="78">
        <v>150</v>
      </c>
    </row>
    <row r="329" spans="1:10" ht="13.5" thickBot="1">
      <c r="A329" s="6" t="s">
        <v>21</v>
      </c>
      <c r="B329" s="51">
        <f>SUM(B268:B319)+0.01</f>
        <v>387653.3205520001</v>
      </c>
      <c r="C329" s="52">
        <f>SUM(C268:C319)</f>
        <v>2093.9894480000185</v>
      </c>
      <c r="D329" s="52"/>
      <c r="E329" s="53">
        <f>SUM(E268:E328)</f>
        <v>389747.3</v>
      </c>
      <c r="F329" s="54">
        <f>SUM(F268:F319)+0.01</f>
        <v>387653.3205520001</v>
      </c>
      <c r="G329" s="54">
        <f>SUM(G268:G319)</f>
        <v>226089.02400000006</v>
      </c>
      <c r="H329" s="55">
        <f>SUM(H268:H319)</f>
        <v>163658.27599999998</v>
      </c>
      <c r="I329" s="177"/>
      <c r="J329" s="178"/>
    </row>
    <row r="330" spans="1:10" ht="13.5" thickBot="1">
      <c r="A330" s="176"/>
      <c r="B330" s="47"/>
      <c r="C330" s="48"/>
      <c r="D330" s="48"/>
      <c r="E330" s="49"/>
      <c r="F330" s="50"/>
      <c r="G330" s="212"/>
      <c r="H330" s="212"/>
      <c r="I330" s="129" t="s">
        <v>22</v>
      </c>
      <c r="J330" s="130">
        <f>SUM(J268:J328)</f>
        <v>163648.53599999996</v>
      </c>
    </row>
    <row r="331" spans="1:10" ht="13.5" thickBot="1">
      <c r="A331" s="182"/>
      <c r="B331" s="183"/>
      <c r="C331" s="184"/>
      <c r="D331" s="184"/>
      <c r="E331" s="185"/>
      <c r="F331" s="244"/>
      <c r="G331" s="245"/>
      <c r="H331" s="245"/>
      <c r="I331" s="246"/>
      <c r="J331" s="220"/>
    </row>
    <row r="332" spans="1:10" ht="17.25" customHeight="1" thickBot="1">
      <c r="A332" s="186"/>
      <c r="B332" s="186"/>
      <c r="C332" s="186"/>
      <c r="D332" s="186"/>
      <c r="E332" s="186"/>
      <c r="F332" s="213"/>
      <c r="G332" s="213"/>
      <c r="H332" s="213"/>
      <c r="I332" s="7" t="s">
        <v>151</v>
      </c>
      <c r="J332" s="16">
        <f>H329+J267-J330</f>
        <v>-249740.23839080468</v>
      </c>
    </row>
    <row r="333" spans="1:10" ht="12.75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</row>
    <row r="334" spans="1:10" ht="12.75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</row>
    <row r="335" ht="12.75">
      <c r="A335" t="s">
        <v>108</v>
      </c>
    </row>
  </sheetData>
  <sheetProtection/>
  <mergeCells count="108">
    <mergeCell ref="A235:A239"/>
    <mergeCell ref="A240:A246"/>
    <mergeCell ref="A247:A251"/>
    <mergeCell ref="A252:A254"/>
    <mergeCell ref="F260:I260"/>
    <mergeCell ref="A204:A206"/>
    <mergeCell ref="A207:A211"/>
    <mergeCell ref="A212:A217"/>
    <mergeCell ref="A218:A224"/>
    <mergeCell ref="A225:A229"/>
    <mergeCell ref="A230:A234"/>
    <mergeCell ref="G192:G193"/>
    <mergeCell ref="H192:H193"/>
    <mergeCell ref="I192:J192"/>
    <mergeCell ref="B194:E194"/>
    <mergeCell ref="A195:A198"/>
    <mergeCell ref="A199:A203"/>
    <mergeCell ref="A189:J189"/>
    <mergeCell ref="A190:J190"/>
    <mergeCell ref="A191:A193"/>
    <mergeCell ref="B191:E191"/>
    <mergeCell ref="F191:J191"/>
    <mergeCell ref="B192:B193"/>
    <mergeCell ref="C192:C193"/>
    <mergeCell ref="D192:D193"/>
    <mergeCell ref="E192:E193"/>
    <mergeCell ref="F192:F193"/>
    <mergeCell ref="A55:A59"/>
    <mergeCell ref="A60:A64"/>
    <mergeCell ref="A65:A70"/>
    <mergeCell ref="A71:A73"/>
    <mergeCell ref="F79:I79"/>
    <mergeCell ref="A18:A25"/>
    <mergeCell ref="A26:A34"/>
    <mergeCell ref="A35:A37"/>
    <mergeCell ref="A38:A43"/>
    <mergeCell ref="A44:A50"/>
    <mergeCell ref="A51:A54"/>
    <mergeCell ref="G5:G6"/>
    <mergeCell ref="H5:H6"/>
    <mergeCell ref="I5:J5"/>
    <mergeCell ref="B7:E7"/>
    <mergeCell ref="A8:A14"/>
    <mergeCell ref="A15:A17"/>
    <mergeCell ref="A1:J1"/>
    <mergeCell ref="A2:J2"/>
    <mergeCell ref="A4:A6"/>
    <mergeCell ref="B4:E4"/>
    <mergeCell ref="F4:J4"/>
    <mergeCell ref="B5:B6"/>
    <mergeCell ref="C5:C6"/>
    <mergeCell ref="D5:D6"/>
    <mergeCell ref="E5:E6"/>
    <mergeCell ref="F5:F6"/>
    <mergeCell ref="A115:J115"/>
    <mergeCell ref="A116:J116"/>
    <mergeCell ref="A118:A120"/>
    <mergeCell ref="B118:E118"/>
    <mergeCell ref="F118:J118"/>
    <mergeCell ref="B119:B120"/>
    <mergeCell ref="C119:C120"/>
    <mergeCell ref="D119:D120"/>
    <mergeCell ref="E119:E120"/>
    <mergeCell ref="F119:F120"/>
    <mergeCell ref="A152:A160"/>
    <mergeCell ref="G119:G120"/>
    <mergeCell ref="H119:H120"/>
    <mergeCell ref="I119:J119"/>
    <mergeCell ref="B121:E121"/>
    <mergeCell ref="A122:A123"/>
    <mergeCell ref="A124:A127"/>
    <mergeCell ref="A161:A162"/>
    <mergeCell ref="A163:A167"/>
    <mergeCell ref="A168:A170"/>
    <mergeCell ref="A171:A173"/>
    <mergeCell ref="F179:I179"/>
    <mergeCell ref="A128:A132"/>
    <mergeCell ref="A133:A136"/>
    <mergeCell ref="A137:A139"/>
    <mergeCell ref="A140:A146"/>
    <mergeCell ref="A147:A151"/>
    <mergeCell ref="A262:J262"/>
    <mergeCell ref="A263:J263"/>
    <mergeCell ref="A264:A266"/>
    <mergeCell ref="B264:E264"/>
    <mergeCell ref="F264:J264"/>
    <mergeCell ref="B265:B266"/>
    <mergeCell ref="C265:C266"/>
    <mergeCell ref="D265:D266"/>
    <mergeCell ref="E265:E266"/>
    <mergeCell ref="F265:F266"/>
    <mergeCell ref="A301:A302"/>
    <mergeCell ref="G265:G266"/>
    <mergeCell ref="H265:H266"/>
    <mergeCell ref="I265:J265"/>
    <mergeCell ref="B267:E267"/>
    <mergeCell ref="A268:A273"/>
    <mergeCell ref="A274:A280"/>
    <mergeCell ref="A303:A304"/>
    <mergeCell ref="A305:A311"/>
    <mergeCell ref="A312:A318"/>
    <mergeCell ref="A319:A321"/>
    <mergeCell ref="F331:I331"/>
    <mergeCell ref="A281:A288"/>
    <mergeCell ref="A289:A290"/>
    <mergeCell ref="A291:A293"/>
    <mergeCell ref="A294:A296"/>
    <mergeCell ref="A297:A300"/>
  </mergeCells>
  <printOptions/>
  <pageMargins left="0.17" right="0.17" top="0.17" bottom="0.16" header="0.17" footer="0.16"/>
  <pageSetup horizontalDpi="600" verticalDpi="600" orientation="landscape" paperSize="9" scale="98" r:id="rId1"/>
  <rowBreaks count="7" manualBreakCount="7">
    <brk id="70" max="9" man="1"/>
    <brk id="113" max="9" man="1"/>
    <brk id="151" max="9" man="1"/>
    <brk id="188" max="9" man="1"/>
    <brk id="261" max="9" man="1"/>
    <brk id="288" max="9" man="1"/>
    <brk id="318" max="9" man="1"/>
  </rowBreaks>
  <ignoredErrors>
    <ignoredError sqref="J123:J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2022-03-23T06:28:54Z</cp:lastPrinted>
  <dcterms:created xsi:type="dcterms:W3CDTF">2010-06-22T06:42:29Z</dcterms:created>
  <dcterms:modified xsi:type="dcterms:W3CDTF">2022-04-11T07:41:33Z</dcterms:modified>
  <cp:category/>
  <cp:version/>
  <cp:contentType/>
  <cp:contentStatus/>
</cp:coreProperties>
</file>