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30" windowHeight="11640" tabRatio="598" activeTab="0"/>
  </bookViews>
  <sheets>
    <sheet name="Текущий ремонт" sheetId="1" r:id="rId1"/>
  </sheets>
  <definedNames>
    <definedName name="_xlnm.Print_Area" localSheetId="0">'Текущий ремонт'!$A$1:$J$315</definedName>
  </definedNames>
  <calcPr fullCalcOnLoad="1"/>
</workbook>
</file>

<file path=xl/sharedStrings.xml><?xml version="1.0" encoding="utf-8"?>
<sst xmlns="http://schemas.openxmlformats.org/spreadsheetml/2006/main" count="362" uniqueCount="182">
  <si>
    <t>начис.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</si>
  <si>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</si>
  <si>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</si>
  <si>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</si>
  <si>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</si>
  <si>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</si>
  <si>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</si>
  <si>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</si>
  <si>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</si>
  <si>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</si>
  <si>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</si>
  <si>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</si>
  <si>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</si>
  <si>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</si>
  <si>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</si>
  <si>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</si>
  <si>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</si>
  <si>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</si>
  <si>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</si>
  <si>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</si>
  <si>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</si>
  <si>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            </t>
    </r>
    <r>
      <rPr>
        <b/>
        <sz val="10"/>
        <rFont val="Arial Cyr"/>
        <family val="2"/>
      </rPr>
      <t xml:space="preserve">    Итого: </t>
    </r>
  </si>
  <si>
    <t xml:space="preserve">ДОХОДЫ </t>
  </si>
  <si>
    <t>вывоз крупногабаритного мусора</t>
  </si>
  <si>
    <t xml:space="preserve"> </t>
  </si>
  <si>
    <t xml:space="preserve"> I. по содержанию и текущему ремонту мест общего пользования жилого дома № 11 по ул. Камышинская</t>
  </si>
  <si>
    <t xml:space="preserve">РАСХОДЫ ПО ООО "ЛИДЕР УК" </t>
  </si>
  <si>
    <t>дотация               факт</t>
  </si>
  <si>
    <t>эл. энергия (разница между выставленными и оплаченными показаниями)</t>
  </si>
  <si>
    <t>промывка и опрессовка системы отопления</t>
  </si>
  <si>
    <t>прочистка дороги от снега вдоль дома и подъезд к контейнерам (погрузчиком 25 мин.)</t>
  </si>
  <si>
    <t>вывоз твердых бытовых отходов</t>
  </si>
  <si>
    <t>содержание УК</t>
  </si>
  <si>
    <t>покос травы на детской площадке, газонах</t>
  </si>
  <si>
    <t>факт недоплата, переплата  (-/+)</t>
  </si>
  <si>
    <t>переходящий остаток на 2019 год</t>
  </si>
  <si>
    <t xml:space="preserve">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</si>
  <si>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долг с 2017 года                                                   </t>
  </si>
  <si>
    <t>2018 г.</t>
  </si>
  <si>
    <t>3п. (чердачный люк) - установлена клямка, саморезы</t>
  </si>
  <si>
    <t>прочистка снега к контейнерам (погрузчиком 12 мин.)</t>
  </si>
  <si>
    <t>1п. подвал - переключение подачи на обратку</t>
  </si>
  <si>
    <t>кв. № 19 - вызов аварийной службы</t>
  </si>
  <si>
    <t>удаление надписей на фасаде дома, в кол-ве - 10 шт.</t>
  </si>
  <si>
    <t>замена элемента питания на тепловычислителе и настроечные работы базы теплосчетчика</t>
  </si>
  <si>
    <t>услуги ООО "РИЦ"</t>
  </si>
  <si>
    <t xml:space="preserve">III п. 1 эт. - замена эл. патрона - 1 шт. </t>
  </si>
  <si>
    <t xml:space="preserve">III п. - забетонирован люк в подвал (тес, цемент, балласт) </t>
  </si>
  <si>
    <t>грейдирование дороги 1 час. 20 мин.</t>
  </si>
  <si>
    <t>подвал - замена шар. крана d 20мм. - 1 шт., соединение 20*25 - 1 шт.</t>
  </si>
  <si>
    <t xml:space="preserve">IIIп. - демонтаж и монтаж козырька над подъездом </t>
  </si>
  <si>
    <t>II п. - ремонт слухового окна, изготовление жалюзи (тес, гвозди)</t>
  </si>
  <si>
    <t>кв. № 7 - вызов аварийной службы</t>
  </si>
  <si>
    <t>кв. № 36 - ремонт балконной плиты</t>
  </si>
  <si>
    <t>уличное освещение - замена лампы энергосберегающей 45 Вт. - 1 шт., клемник - 1 шт.</t>
  </si>
  <si>
    <t>I, II, III  п. - бетонирование пола в тамбуре</t>
  </si>
  <si>
    <t xml:space="preserve">IIп. 2 эт.- замена ТСК - 1 шт., эл. лампочка 40 Вт - 1 шт. </t>
  </si>
  <si>
    <t xml:space="preserve">I п. 3 эт. (кв. № 10) - ревизия межэтажного эл. щита (автомат 40 А 2 пол. - 1 шт., провод - 2,5м.)
</t>
  </si>
  <si>
    <t xml:space="preserve">привезен щебень - 1/2 камаза (7,5 тонн)
</t>
  </si>
  <si>
    <t>III  п. - ремонт крыльца</t>
  </si>
  <si>
    <t>привезена земля - 1/2 камаза (5 тонн)</t>
  </si>
  <si>
    <t>I, II, IIIп. - окрашено металлическое примыкание к входным подъездным дверям</t>
  </si>
  <si>
    <t>ремонт и окраска малых архитектурных форм на детской площадке</t>
  </si>
  <si>
    <t>изготовление декоративного заборчика (2м.) - 36 шт.</t>
  </si>
  <si>
    <t xml:space="preserve">II п. 3 эт. - ревизия межэтажного эл. щита (автомат 40 А 2 пол. - 1 шт., 0-шина - 4 шт.)
</t>
  </si>
  <si>
    <t>прочистка дороги от снега вдоль дома и подъезд к контейнерам (погрузчиком 55 мин.)</t>
  </si>
  <si>
    <t xml:space="preserve">I, II, IIIп. - ремонтные работы эл. проводов </t>
  </si>
  <si>
    <t>кв. № 3,7,11 - разделение стояка отопления</t>
  </si>
  <si>
    <t xml:space="preserve">I п. - переподключение подъездного отопления </t>
  </si>
  <si>
    <t>II п. - замена крышки люка в подвал</t>
  </si>
  <si>
    <t xml:space="preserve">IIIп. 2 эт.- замена эл.лампочки 40 Вт - 1шт. </t>
  </si>
  <si>
    <t>I п. - ремонтные работы системы отопления</t>
  </si>
  <si>
    <t>проверка сметы дворовой территории</t>
  </si>
  <si>
    <t>I п. (подвал) - установка и подключение эл. насоса на системе отопления</t>
  </si>
  <si>
    <t>II п. (чердак) - запенено монтажной пеной - 1 бал. кирпичная кладка</t>
  </si>
  <si>
    <t>прочистка дороги от снега вдоль дома и подъезд к контейнерам (погрузчиком 1 час. 15 мин.)</t>
  </si>
  <si>
    <r>
      <t>расход горячей воды на промывку системы отопления - 5,519 м</t>
    </r>
    <r>
      <rPr>
        <sz val="9"/>
        <rFont val="Arial"/>
        <family val="2"/>
      </rPr>
      <t>³</t>
    </r>
  </si>
  <si>
    <t>II, III п. - ремонт кирпичной кладки под окнами в подъезде (кирпич, цемент, песок)</t>
  </si>
  <si>
    <t xml:space="preserve">I, II п. 1 эт. - ревизия межэтажных эл. щитов (автомат 25 А - 2 шт.)
</t>
  </si>
  <si>
    <t xml:space="preserve">I, II, IIIп. тамбур - установка светодиодных светильников с датчиком движения - 3 шт. </t>
  </si>
  <si>
    <t>III п. - ремонт подъезда</t>
  </si>
  <si>
    <t xml:space="preserve">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</si>
  <si>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</si>
  <si>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</si>
  <si>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переходящий остаток на 2020 год</t>
  </si>
  <si>
    <t>вывоз твердых коммунальных отходов</t>
  </si>
  <si>
    <t>1, 2, 3п. - установлены доски объявлений - 3 шт.</t>
  </si>
  <si>
    <t>кв. № 16 - с подвала запенено монтажной пеной (6 бал.)</t>
  </si>
  <si>
    <t>кв. № 16 - подключение эл. ввода</t>
  </si>
  <si>
    <t xml:space="preserve">кв. № 16 - частичная замена ст. канализации d110 мм. - 2 м. </t>
  </si>
  <si>
    <t>кв. № 16 - установка шаровых кранов на системе отопления</t>
  </si>
  <si>
    <t>кв. № 15 - с подвала запенено монтажной пеной (5 бал.)</t>
  </si>
  <si>
    <t xml:space="preserve">Iп. 3 эт., II п. 2 эт. - замена эл.лампочки 40 Вт - 2шт. </t>
  </si>
  <si>
    <t>на подъездные двери установлены аншлаги - 3 шт.</t>
  </si>
  <si>
    <t>в подъздах установлены стенды - 3 шт.</t>
  </si>
  <si>
    <t>прочистка дороги от снега вдоль дома и подъезд к контейнерам (погрузчиком 1 час. 10 мин.)</t>
  </si>
  <si>
    <t>I, II п. - ремонт подъездов</t>
  </si>
  <si>
    <t>I, II, IIIп. тамбур - на пол положен ковролин (резиновые коврики) - 3 шт.</t>
  </si>
  <si>
    <t>ремонт малых архитектурных форм на детской площадке</t>
  </si>
  <si>
    <t>II п. - выведена ХВС для полива цветов</t>
  </si>
  <si>
    <t>лейка для полива цветов - 3 шт.</t>
  </si>
  <si>
    <t>демонтаж ОДПУ ХВС</t>
  </si>
  <si>
    <t>поверка ОДПУ ХВС</t>
  </si>
  <si>
    <t>привозка песка (15т.) на детскую площадку</t>
  </si>
  <si>
    <t>кв. № 3 - частичная замена стояков ХВС и ГВС</t>
  </si>
  <si>
    <t>монтаж теннисного стола на детской площадке</t>
  </si>
  <si>
    <t>монтаж прибора ОДПУ отопления и ГВС после очередной поверки (ИП Ушаков)</t>
  </si>
  <si>
    <t xml:space="preserve">монтаж обводной на ОДПУ ХВС </t>
  </si>
  <si>
    <t>монтаж декоративного заборчика на детской площадке (гайки, шайбы, болты)</t>
  </si>
  <si>
    <t>закрыты отдушины в подвальное помещение (монтажная пена - 1/3 бал.)</t>
  </si>
  <si>
    <t xml:space="preserve">III п. 1 эт. - замена эл.лампочки 40 Вт - 1шт. </t>
  </si>
  <si>
    <t>окраска контейнеров - 5 шт. и площадки под ними - 2 шт.</t>
  </si>
  <si>
    <t>оштукатуривание цоколя</t>
  </si>
  <si>
    <t>пропитка и окраска цоколя</t>
  </si>
  <si>
    <t>кустарник снежноягодник - 5 шт.</t>
  </si>
  <si>
    <t>монтаж елки и гирлянд на детской площадке</t>
  </si>
  <si>
    <t>проектная документация (дизайн проект)</t>
  </si>
  <si>
    <t xml:space="preserve">ремонт двора 5 % </t>
  </si>
  <si>
    <t>переходящий остаток на 2021 год</t>
  </si>
  <si>
    <t xml:space="preserve">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</si>
  <si>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</si>
  <si>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</si>
  <si>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 xml:space="preserve">Составил: инженер-смотритель                                       О.А. Романюк                              </t>
  </si>
  <si>
    <t>прочистка дороги от снега вдоль дома и подъезд к контейнерам (погрузчиком 1 час. 13 мин.)</t>
  </si>
  <si>
    <t>монтаж почтовых ящиков 6 секц. - 6 шт.</t>
  </si>
  <si>
    <t>прочистка дороги от снега вдоль дома и подъезд к контейнерам (погрузчиком 52 мин.)</t>
  </si>
  <si>
    <t>кв. № 25 - вызов аварийной службы</t>
  </si>
  <si>
    <t xml:space="preserve">на придомовой территории насыпана соль от наледи </t>
  </si>
  <si>
    <t>прочистка дороги от снега вдоль дома и подъезд к контейнерам (погрузчиком 2 час. 25 мин.)</t>
  </si>
  <si>
    <t xml:space="preserve">очистка от мусора межэтажных эл. щитов </t>
  </si>
  <si>
    <t>подвал - очистка от мусора</t>
  </si>
  <si>
    <t xml:space="preserve">дезинсекция подвала </t>
  </si>
  <si>
    <t>детская площадка огорожена сигнальной лентой</t>
  </si>
  <si>
    <t>дезинфекция МОП МКД</t>
  </si>
  <si>
    <t>очистка ОДПУ по эл. энергии от мусора</t>
  </si>
  <si>
    <t>окраска мусорного контейнера - 4 шт., площадки - 1 шт.</t>
  </si>
  <si>
    <t>доставка грунта</t>
  </si>
  <si>
    <t xml:space="preserve">2 п. 3 эт., 3п. 2 эт., подвал - замена эл.лампочки 40 Вт - 5шт. </t>
  </si>
  <si>
    <t>уличное освещение (1п.) - замена эл. ламп 20, 11 Вт. - 2 шт.</t>
  </si>
  <si>
    <t>подвал - на стояке ХВС замена шар. крана d 16 мм. - 1 шт.</t>
  </si>
  <si>
    <t>кв. № 19 - замена стояка отопления в зале</t>
  </si>
  <si>
    <t xml:space="preserve">очистка от мусора ОДПУ - 1шт. по эл. энергии </t>
  </si>
  <si>
    <t>закрыты отдушины в подвальное помещение (монтажная пена - 1,5 бал.)</t>
  </si>
  <si>
    <t>уличное освещение - замена светодиодных ламп в светильниках на детской площадке 9, 12 Вт. - 4 шт.</t>
  </si>
  <si>
    <t>3 п. 1 эт. - замена ТСК - 1 шт., эл. ламп. 40Вт. - 1 шт.</t>
  </si>
  <si>
    <r>
      <t>3 п. - постелена прорезиненная плитка на ступени (2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</si>
  <si>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детская площадка  - установка крепления под новогоднюю елку</t>
  </si>
  <si>
    <t>монтаж елки на детской площадке</t>
  </si>
  <si>
    <t>очистка подъездных козырьков от снега - 3 шт.</t>
  </si>
  <si>
    <t>подвал (1п.) - дезинфекция подвала (хлорка  - 2 кг.)</t>
  </si>
  <si>
    <r>
      <t>уличное освещение - замена светодиодных ламп в светильниках на детской площадке</t>
    </r>
    <r>
      <rPr>
        <sz val="9"/>
        <rFont val="Arial Cyr"/>
        <family val="0"/>
      </rPr>
      <t xml:space="preserve"> - 3 шт.</t>
    </r>
  </si>
  <si>
    <t>эл. энергия (сверхнормативный ОДН по ОДПУ)</t>
  </si>
  <si>
    <t xml:space="preserve">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</si>
  <si>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</si>
  <si>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</si>
  <si>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</si>
  <si>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монтаж досок объявлений (табличка - 3 шт., дюбель гвоздь - 12 шт.)</t>
  </si>
  <si>
    <r>
      <t>очистка кровли от снега и наледи (55 м</t>
    </r>
    <r>
      <rPr>
        <sz val="10.1"/>
        <rFont val="Calibri"/>
        <family val="2"/>
      </rPr>
      <t>²)</t>
    </r>
  </si>
  <si>
    <t>монтаж информационных табличек на подъездные двери (таблички - 3 шт., саморез - 12 шт.)</t>
  </si>
  <si>
    <t>прочистка дороги от снега вдоль дома и подъезд к контейнерам (погрузчиком 30 мин.)</t>
  </si>
  <si>
    <t>Iп. (уличное освещение) - замена светодиодной лампы 20 Вт. в светильнике - 1 шт.</t>
  </si>
  <si>
    <t>I-IIIп. - очистка подъездных козырьков от снега - 3 шт.</t>
  </si>
  <si>
    <t>прочистка дороги от снега вдоль дома и подъезд к контейнерам (погрузчиком 2 час. 40 мин.)</t>
  </si>
  <si>
    <t>IIп. 2 эт. - замена ТСК-3 - 1 шт., эл. лампы 40Вт. - 1 шт.</t>
  </si>
  <si>
    <t>кв. № 25 - вызов аварийной службы - 1 заявка</t>
  </si>
  <si>
    <t>дератизация подвала (крысин - 2 уп.)</t>
  </si>
  <si>
    <r>
      <t>I, IIIп. - выведена вода для полива цветов (труба d 25 - 21,5м., тройник d 25 - 2 шт., шар. кран d 25 - 10 шт., отвод d 25 90˚C - 14 шт., d 25 45</t>
    </r>
    <r>
      <rPr>
        <sz val="9"/>
        <rFont val="Arial"/>
        <family val="2"/>
      </rPr>
      <t>˚C - 4 шт</t>
    </r>
    <r>
      <rPr>
        <sz val="9"/>
        <rFont val="Arial Cyr"/>
        <family val="0"/>
      </rPr>
      <t xml:space="preserve">., нить - 10м., диск - 1 шт., муфта разборная - 2 шт., переходка - 4 шт., хомут - 2 шт. ) </t>
    </r>
  </si>
  <si>
    <t>кв. № 1 - вызов аварийной службы - 1 заявка (устранение порыва ГВС в подвале труба d 32 - 4м., шар. кран d 32 - 1 шт., d 25 - 1 шт.,  нить - 10м., тройник d 32*25*32 - 1 шт., муфта комбинированная - 2 шт., муфта чугун. - 1 шт., сварочные работы)</t>
  </si>
  <si>
    <t xml:space="preserve">подвал - дезинсекция (фенаксин - 1 кг.), дератизация (крысиная смерть - 1 кг.) </t>
  </si>
  <si>
    <t>IIIп. 1 эт. - замена ТСК-3 - 1 шт., свет.  лампы 5Вт. - 1 шт.</t>
  </si>
  <si>
    <t>кв. № 29 - вызов аварийной службы - 1 заявка (дым в подвале)</t>
  </si>
  <si>
    <t>детская площадка, уличное освещение - замена светодиодной лампы 20 Вт. в светильнике - 4 шт.</t>
  </si>
  <si>
    <t>вызов аварийной службы - 1 заявка (подключение насоса)</t>
  </si>
  <si>
    <t>кв. № 18 - вызов аварийной службы - 1 заявка (развоздушивание ст. отопления)</t>
  </si>
  <si>
    <t>IIп. - дезинсекция (обработка подвала от комаров раптор - 2 уп.)</t>
  </si>
  <si>
    <t>детская площадка, уличное освещение - замена светодиодной лампы 20 Вт. в светильнике - 1 шт.</t>
  </si>
  <si>
    <r>
      <t>очистка кровли от снега и наледи (50 м</t>
    </r>
    <r>
      <rPr>
        <sz val="10.1"/>
        <rFont val="Calibri"/>
        <family val="2"/>
      </rPr>
      <t>²)</t>
    </r>
  </si>
  <si>
    <t>подвал - монтаж освещения (провод - 84м., патрон - 9 шт., эл. лампа 40 Вт. - 9 шт., распред коробка - 4 шт., выключатель - 3 шт., розетка - 3 шт., автомат 2п. 40А - 1 шт., дин рейка - 1 шт.,  хомут - 12 шт., дюбель - 52 шт., саморезы - 52 шт.)</t>
  </si>
  <si>
    <r>
      <t>кв. №  3 - демонтаж п/сушителя (труба d 20 - 22м., соединение - 2 шт., уголок d 20 90</t>
    </r>
    <r>
      <rPr>
        <sz val="9"/>
        <rFont val="Arial"/>
        <family val="2"/>
      </rPr>
      <t>˚</t>
    </r>
    <r>
      <rPr>
        <sz val="9"/>
        <rFont val="Arial Cyr"/>
        <family val="0"/>
      </rPr>
      <t>С - 25 шт.,  шар. кран d 20 - 4 шт., нить - 5м., тройник d 20 - 2 шт., муфта комбинированная - 4 шт., диск - 1 шт.)</t>
    </r>
  </si>
  <si>
    <t>кв. № 5 - вызов аварийной службы (включил пакетник) - 1 заявка</t>
  </si>
  <si>
    <t>прочистка дороги от снега вдоль дома и подъезд к контейнерам (погрузчиком 1 час. 45 мин.)</t>
  </si>
  <si>
    <t xml:space="preserve">I, II, III п. - открытка А 4 - 3 шт.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</si>
</sst>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.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0"/>
      <color indexed="30"/>
      <name val="Arial Cyr"/>
      <family val="0"/>
    </font>
    <font>
      <sz val="8"/>
      <color indexed="30"/>
      <name val="Arial Cyr"/>
      <family val="2"/>
    </font>
    <font>
      <sz val="9"/>
      <color indexed="8"/>
      <name val="Arial"/>
      <family val="2"/>
    </font>
    <font>
      <sz val="8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  <font>
      <sz val="10"/>
      <color rgb="FF0070C0"/>
      <name val="Arial Cyr"/>
      <family val="0"/>
    </font>
    <font>
      <sz val="8"/>
      <color rgb="FF0070C0"/>
      <name val="Arial Cyr"/>
      <family val="2"/>
    </font>
    <font>
      <sz val="9"/>
      <color theme="1"/>
      <name val="Arial"/>
      <family val="2"/>
    </font>
    <font>
      <sz val="8"/>
      <color rgb="FF7030A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>
      <alignment horizontal="left" vertical="top"/>
      <protection/>
    </xf>
    <xf numFmtId="0" fontId="48" fillId="0" borderId="0">
      <alignment horizontal="left" vertical="top"/>
      <protection/>
    </xf>
    <xf numFmtId="0" fontId="49" fillId="0" borderId="0">
      <alignment horizontal="right" vertical="top"/>
      <protection/>
    </xf>
    <xf numFmtId="0" fontId="48" fillId="0" borderId="0">
      <alignment horizontal="right" vertical="top"/>
      <protection/>
    </xf>
    <xf numFmtId="0" fontId="49" fillId="0" borderId="0">
      <alignment horizontal="right" vertical="top"/>
      <protection/>
    </xf>
    <xf numFmtId="0" fontId="47" fillId="0" borderId="0">
      <alignment horizontal="left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50" fillId="0" borderId="0">
      <alignment horizontal="left" vertical="top"/>
      <protection/>
    </xf>
    <xf numFmtId="0" fontId="48" fillId="0" borderId="0">
      <alignment horizontal="left" vertical="top"/>
      <protection/>
    </xf>
    <xf numFmtId="0" fontId="48" fillId="0" borderId="0">
      <alignment horizontal="right" vertical="top"/>
      <protection/>
    </xf>
    <xf numFmtId="0" fontId="51" fillId="0" borderId="0">
      <alignment horizontal="left" vertical="top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45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5" fillId="32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1" fillId="0" borderId="15" xfId="0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2" fontId="1" fillId="32" borderId="14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4" fillId="0" borderId="23" xfId="0" applyFont="1" applyBorder="1" applyAlignment="1">
      <alignment horizontal="right" vertical="center"/>
    </xf>
    <xf numFmtId="2" fontId="5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32" borderId="24" xfId="0" applyNumberFormat="1" applyFont="1" applyFill="1" applyBorder="1" applyAlignment="1">
      <alignment horizontal="right"/>
    </xf>
    <xf numFmtId="2" fontId="69" fillId="0" borderId="33" xfId="0" applyNumberFormat="1" applyFont="1" applyBorder="1" applyAlignment="1">
      <alignment/>
    </xf>
    <xf numFmtId="2" fontId="69" fillId="0" borderId="0" xfId="0" applyNumberFormat="1" applyFont="1" applyBorder="1" applyAlignment="1">
      <alignment horizontal="right"/>
    </xf>
    <xf numFmtId="2" fontId="69" fillId="0" borderId="34" xfId="0" applyNumberFormat="1" applyFont="1" applyBorder="1" applyAlignment="1">
      <alignment horizontal="right"/>
    </xf>
    <xf numFmtId="2" fontId="69" fillId="0" borderId="33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/>
    </xf>
    <xf numFmtId="2" fontId="70" fillId="0" borderId="35" xfId="0" applyNumberFormat="1" applyFont="1" applyBorder="1" applyAlignment="1">
      <alignment horizontal="right"/>
    </xf>
    <xf numFmtId="2" fontId="70" fillId="0" borderId="26" xfId="0" applyNumberFormat="1" applyFont="1" applyBorder="1" applyAlignment="1">
      <alignment horizontal="right"/>
    </xf>
    <xf numFmtId="2" fontId="70" fillId="0" borderId="36" xfId="0" applyNumberFormat="1" applyFont="1" applyBorder="1" applyAlignment="1">
      <alignment horizontal="right"/>
    </xf>
    <xf numFmtId="2" fontId="70" fillId="0" borderId="37" xfId="0" applyNumberFormat="1" applyFont="1" applyBorder="1" applyAlignment="1">
      <alignment horizontal="right"/>
    </xf>
    <xf numFmtId="2" fontId="70" fillId="0" borderId="38" xfId="0" applyNumberFormat="1" applyFont="1" applyBorder="1" applyAlignment="1">
      <alignment horizontal="right"/>
    </xf>
    <xf numFmtId="2" fontId="70" fillId="0" borderId="0" xfId="0" applyNumberFormat="1" applyFont="1" applyBorder="1" applyAlignment="1">
      <alignment horizontal="right"/>
    </xf>
    <xf numFmtId="2" fontId="70" fillId="0" borderId="34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5" fillId="0" borderId="42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/>
    </xf>
    <xf numFmtId="2" fontId="69" fillId="0" borderId="37" xfId="0" applyNumberFormat="1" applyFont="1" applyBorder="1" applyAlignment="1">
      <alignment/>
    </xf>
    <xf numFmtId="2" fontId="69" fillId="0" borderId="38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45" xfId="0" applyFont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33" borderId="22" xfId="0" applyNumberFormat="1" applyFont="1" applyFill="1" applyBorder="1" applyAlignment="1">
      <alignment vertical="center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 horizontal="right"/>
    </xf>
    <xf numFmtId="2" fontId="5" fillId="35" borderId="14" xfId="0" applyNumberFormat="1" applyFont="1" applyFill="1" applyBorder="1" applyAlignment="1">
      <alignment vertical="center" wrapText="1"/>
    </xf>
    <xf numFmtId="2" fontId="4" fillId="0" borderId="23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51" xfId="0" applyFont="1" applyBorder="1" applyAlignment="1">
      <alignment horizontal="left" wrapText="1"/>
    </xf>
    <xf numFmtId="2" fontId="4" fillId="0" borderId="20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right" vertical="center"/>
    </xf>
    <xf numFmtId="2" fontId="5" fillId="0" borderId="35" xfId="0" applyNumberFormat="1" applyFont="1" applyBorder="1" applyAlignment="1">
      <alignment/>
    </xf>
    <xf numFmtId="2" fontId="5" fillId="0" borderId="2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69" fillId="0" borderId="26" xfId="0" applyNumberFormat="1" applyFont="1" applyBorder="1" applyAlignment="1">
      <alignment/>
    </xf>
    <xf numFmtId="2" fontId="69" fillId="0" borderId="3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33" borderId="23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wrapText="1"/>
    </xf>
    <xf numFmtId="0" fontId="4" fillId="33" borderId="25" xfId="0" applyNumberFormat="1" applyFont="1" applyFill="1" applyBorder="1" applyAlignment="1">
      <alignment vertical="center"/>
    </xf>
    <xf numFmtId="2" fontId="71" fillId="0" borderId="33" xfId="0" applyNumberFormat="1" applyFont="1" applyBorder="1" applyAlignment="1">
      <alignment/>
    </xf>
    <xf numFmtId="2" fontId="71" fillId="0" borderId="0" xfId="0" applyNumberFormat="1" applyFont="1" applyBorder="1" applyAlignment="1">
      <alignment horizontal="right"/>
    </xf>
    <xf numFmtId="2" fontId="71" fillId="0" borderId="34" xfId="0" applyNumberFormat="1" applyFont="1" applyBorder="1" applyAlignment="1">
      <alignment horizontal="right"/>
    </xf>
    <xf numFmtId="2" fontId="71" fillId="0" borderId="33" xfId="0" applyNumberFormat="1" applyFont="1" applyBorder="1" applyAlignment="1">
      <alignment horizontal="right"/>
    </xf>
    <xf numFmtId="2" fontId="71" fillId="0" borderId="0" xfId="0" applyNumberFormat="1" applyFont="1" applyBorder="1" applyAlignment="1">
      <alignment/>
    </xf>
    <xf numFmtId="2" fontId="72" fillId="0" borderId="35" xfId="0" applyNumberFormat="1" applyFont="1" applyBorder="1" applyAlignment="1">
      <alignment horizontal="right"/>
    </xf>
    <xf numFmtId="2" fontId="72" fillId="0" borderId="26" xfId="0" applyNumberFormat="1" applyFont="1" applyBorder="1" applyAlignment="1">
      <alignment horizontal="right"/>
    </xf>
    <xf numFmtId="2" fontId="72" fillId="0" borderId="36" xfId="0" applyNumberFormat="1" applyFont="1" applyBorder="1" applyAlignment="1">
      <alignment horizontal="right"/>
    </xf>
    <xf numFmtId="2" fontId="72" fillId="0" borderId="0" xfId="0" applyNumberFormat="1" applyFont="1" applyBorder="1" applyAlignment="1">
      <alignment horizontal="right"/>
    </xf>
    <xf numFmtId="2" fontId="8" fillId="0" borderId="29" xfId="44" applyNumberFormat="1" applyFont="1" applyBorder="1" applyAlignment="1">
      <alignment horizontal="right" vertical="top" wrapText="1"/>
      <protection/>
    </xf>
    <xf numFmtId="0" fontId="8" fillId="0" borderId="29" xfId="37" applyFont="1" applyBorder="1" applyAlignment="1" quotePrefix="1">
      <alignment horizontal="right" vertical="center" wrapText="1"/>
      <protection/>
    </xf>
    <xf numFmtId="0" fontId="4" fillId="33" borderId="47" xfId="0" applyFont="1" applyFill="1" applyBorder="1" applyAlignment="1">
      <alignment horizontal="left" vertical="center" wrapText="1"/>
    </xf>
    <xf numFmtId="2" fontId="71" fillId="0" borderId="0" xfId="0" applyNumberFormat="1" applyFont="1" applyBorder="1" applyAlignment="1">
      <alignment/>
    </xf>
    <xf numFmtId="0" fontId="4" fillId="33" borderId="47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wrapText="1"/>
    </xf>
    <xf numFmtId="2" fontId="71" fillId="0" borderId="0" xfId="0" applyNumberFormat="1" applyFont="1" applyBorder="1" applyAlignment="1">
      <alignment horizontal="right"/>
    </xf>
    <xf numFmtId="2" fontId="72" fillId="0" borderId="0" xfId="0" applyNumberFormat="1" applyFont="1" applyBorder="1" applyAlignment="1">
      <alignment horizontal="right"/>
    </xf>
    <xf numFmtId="2" fontId="71" fillId="0" borderId="33" xfId="0" applyNumberFormat="1" applyFont="1" applyBorder="1" applyAlignment="1">
      <alignment/>
    </xf>
    <xf numFmtId="2" fontId="71" fillId="0" borderId="33" xfId="0" applyNumberFormat="1" applyFont="1" applyBorder="1" applyAlignment="1">
      <alignment horizontal="right"/>
    </xf>
    <xf numFmtId="2" fontId="71" fillId="0" borderId="3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wrapText="1"/>
    </xf>
    <xf numFmtId="2" fontId="71" fillId="0" borderId="0" xfId="0" applyNumberFormat="1" applyFont="1" applyBorder="1" applyAlignment="1">
      <alignment horizontal="right"/>
    </xf>
    <xf numFmtId="2" fontId="72" fillId="0" borderId="0" xfId="0" applyNumberFormat="1" applyFont="1" applyBorder="1" applyAlignment="1">
      <alignment horizontal="right"/>
    </xf>
    <xf numFmtId="2" fontId="71" fillId="0" borderId="33" xfId="0" applyNumberFormat="1" applyFont="1" applyBorder="1" applyAlignment="1">
      <alignment/>
    </xf>
    <xf numFmtId="2" fontId="71" fillId="0" borderId="33" xfId="0" applyNumberFormat="1" applyFont="1" applyBorder="1" applyAlignment="1">
      <alignment horizontal="right"/>
    </xf>
    <xf numFmtId="2" fontId="71" fillId="0" borderId="34" xfId="0" applyNumberFormat="1" applyFont="1" applyBorder="1" applyAlignment="1">
      <alignment horizontal="right"/>
    </xf>
    <xf numFmtId="0" fontId="4" fillId="33" borderId="53" xfId="0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wrapText="1"/>
    </xf>
    <xf numFmtId="2" fontId="5" fillId="0" borderId="26" xfId="0" applyNumberFormat="1" applyFont="1" applyBorder="1" applyAlignment="1">
      <alignment/>
    </xf>
    <xf numFmtId="2" fontId="69" fillId="0" borderId="44" xfId="0" applyNumberFormat="1" applyFont="1" applyBorder="1" applyAlignment="1">
      <alignment/>
    </xf>
    <xf numFmtId="2" fontId="69" fillId="0" borderId="37" xfId="0" applyNumberFormat="1" applyFont="1" applyBorder="1" applyAlignment="1">
      <alignment horizontal="right"/>
    </xf>
    <xf numFmtId="2" fontId="69" fillId="0" borderId="44" xfId="0" applyNumberFormat="1" applyFont="1" applyBorder="1" applyAlignment="1">
      <alignment horizontal="right"/>
    </xf>
    <xf numFmtId="2" fontId="70" fillId="0" borderId="33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4" xfId="0" applyFont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right" vertical="center"/>
    </xf>
    <xf numFmtId="2" fontId="70" fillId="0" borderId="44" xfId="0" applyNumberFormat="1" applyFont="1" applyBorder="1" applyAlignment="1">
      <alignment horizontal="right"/>
    </xf>
    <xf numFmtId="0" fontId="4" fillId="33" borderId="55" xfId="0" applyFont="1" applyFill="1" applyBorder="1" applyAlignment="1">
      <alignment horizontal="left" wrapText="1"/>
    </xf>
    <xf numFmtId="1" fontId="4" fillId="33" borderId="25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vertical="center"/>
    </xf>
    <xf numFmtId="0" fontId="4" fillId="33" borderId="26" xfId="0" applyFont="1" applyFill="1" applyBorder="1" applyAlignment="1">
      <alignment horizontal="left" wrapText="1"/>
    </xf>
    <xf numFmtId="2" fontId="71" fillId="0" borderId="27" xfId="0" applyNumberFormat="1" applyFont="1" applyBorder="1" applyAlignment="1">
      <alignment horizontal="right"/>
    </xf>
    <xf numFmtId="2" fontId="71" fillId="0" borderId="44" xfId="0" applyNumberFormat="1" applyFont="1" applyBorder="1" applyAlignment="1">
      <alignment/>
    </xf>
    <xf numFmtId="2" fontId="71" fillId="0" borderId="37" xfId="0" applyNumberFormat="1" applyFont="1" applyBorder="1" applyAlignment="1">
      <alignment horizontal="right"/>
    </xf>
    <xf numFmtId="2" fontId="71" fillId="0" borderId="38" xfId="0" applyNumberFormat="1" applyFont="1" applyBorder="1" applyAlignment="1">
      <alignment horizontal="right"/>
    </xf>
    <xf numFmtId="2" fontId="71" fillId="0" borderId="44" xfId="0" applyNumberFormat="1" applyFont="1" applyBorder="1" applyAlignment="1">
      <alignment horizontal="right"/>
    </xf>
    <xf numFmtId="2" fontId="71" fillId="0" borderId="37" xfId="0" applyNumberFormat="1" applyFont="1" applyBorder="1" applyAlignment="1">
      <alignment/>
    </xf>
    <xf numFmtId="2" fontId="72" fillId="0" borderId="33" xfId="0" applyNumberFormat="1" applyFont="1" applyBorder="1" applyAlignment="1">
      <alignment horizontal="right"/>
    </xf>
    <xf numFmtId="2" fontId="72" fillId="0" borderId="34" xfId="0" applyNumberFormat="1" applyFont="1" applyBorder="1" applyAlignment="1">
      <alignment horizontal="right"/>
    </xf>
    <xf numFmtId="0" fontId="73" fillId="0" borderId="33" xfId="0" applyFont="1" applyBorder="1" applyAlignment="1">
      <alignment/>
    </xf>
    <xf numFmtId="2" fontId="71" fillId="0" borderId="35" xfId="0" applyNumberFormat="1" applyFont="1" applyBorder="1" applyAlignment="1">
      <alignment/>
    </xf>
    <xf numFmtId="2" fontId="71" fillId="0" borderId="26" xfId="0" applyNumberFormat="1" applyFont="1" applyBorder="1" applyAlignment="1">
      <alignment horizontal="right"/>
    </xf>
    <xf numFmtId="2" fontId="71" fillId="0" borderId="36" xfId="0" applyNumberFormat="1" applyFont="1" applyBorder="1" applyAlignment="1">
      <alignment horizontal="right"/>
    </xf>
    <xf numFmtId="2" fontId="71" fillId="0" borderId="35" xfId="0" applyNumberFormat="1" applyFont="1" applyBorder="1" applyAlignment="1">
      <alignment horizontal="right"/>
    </xf>
    <xf numFmtId="2" fontId="71" fillId="0" borderId="26" xfId="0" applyNumberFormat="1" applyFont="1" applyBorder="1" applyAlignment="1">
      <alignment/>
    </xf>
    <xf numFmtId="2" fontId="72" fillId="0" borderId="17" xfId="0" applyNumberFormat="1" applyFont="1" applyBorder="1" applyAlignment="1">
      <alignment horizontal="right"/>
    </xf>
    <xf numFmtId="2" fontId="47" fillId="0" borderId="29" xfId="44" applyNumberFormat="1" applyFont="1" applyBorder="1" applyAlignment="1">
      <alignment horizontal="right" vertical="top" wrapText="1"/>
      <protection/>
    </xf>
    <xf numFmtId="2" fontId="1" fillId="0" borderId="42" xfId="0" applyNumberFormat="1" applyFont="1" applyBorder="1" applyAlignment="1">
      <alignment/>
    </xf>
    <xf numFmtId="2" fontId="74" fillId="0" borderId="27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 wrapText="1"/>
    </xf>
    <xf numFmtId="2" fontId="1" fillId="35" borderId="14" xfId="0" applyNumberFormat="1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53" xfId="0" applyFont="1" applyBorder="1" applyAlignment="1">
      <alignment horizontal="left" wrapText="1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2" fontId="5" fillId="0" borderId="42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vertical="center"/>
    </xf>
    <xf numFmtId="2" fontId="5" fillId="0" borderId="56" xfId="0" applyNumberFormat="1" applyFont="1" applyBorder="1" applyAlignment="1">
      <alignment horizontal="right" vertical="center"/>
    </xf>
    <xf numFmtId="2" fontId="69" fillId="0" borderId="27" xfId="0" applyNumberFormat="1" applyFont="1" applyBorder="1" applyAlignment="1">
      <alignment horizontal="right"/>
    </xf>
    <xf numFmtId="2" fontId="69" fillId="0" borderId="35" xfId="0" applyNumberFormat="1" applyFont="1" applyBorder="1" applyAlignment="1">
      <alignment/>
    </xf>
    <xf numFmtId="2" fontId="69" fillId="0" borderId="26" xfId="0" applyNumberFormat="1" applyFont="1" applyBorder="1" applyAlignment="1">
      <alignment horizontal="right"/>
    </xf>
    <xf numFmtId="0" fontId="75" fillId="0" borderId="33" xfId="0" applyFont="1" applyBorder="1" applyAlignment="1">
      <alignment/>
    </xf>
    <xf numFmtId="49" fontId="69" fillId="0" borderId="24" xfId="0" applyNumberFormat="1" applyFont="1" applyBorder="1" applyAlignment="1">
      <alignment horizontal="left"/>
    </xf>
    <xf numFmtId="0" fontId="69" fillId="0" borderId="15" xfId="0" applyFont="1" applyBorder="1" applyAlignment="1">
      <alignment horizontal="right"/>
    </xf>
    <xf numFmtId="0" fontId="76" fillId="0" borderId="1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/>
    </xf>
    <xf numFmtId="2" fontId="75" fillId="34" borderId="14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9" fillId="32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35" borderId="14" xfId="0" applyFont="1" applyFill="1" applyBorder="1" applyAlignment="1">
      <alignment vertical="center" wrapText="1"/>
    </xf>
    <xf numFmtId="2" fontId="1" fillId="35" borderId="14" xfId="0" applyNumberFormat="1" applyFont="1" applyFill="1" applyBorder="1" applyAlignment="1">
      <alignment vertical="center" wrapText="1"/>
    </xf>
    <xf numFmtId="2" fontId="1" fillId="0" borderId="27" xfId="0" applyNumberFormat="1" applyFont="1" applyBorder="1" applyAlignment="1">
      <alignment horizontal="right"/>
    </xf>
    <xf numFmtId="0" fontId="77" fillId="33" borderId="22" xfId="0" applyFont="1" applyFill="1" applyBorder="1" applyAlignment="1">
      <alignment vertical="center" wrapText="1"/>
    </xf>
    <xf numFmtId="0" fontId="4" fillId="0" borderId="52" xfId="0" applyFont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wrapText="1"/>
    </xf>
    <xf numFmtId="2" fontId="8" fillId="0" borderId="38" xfId="44" applyNumberFormat="1" applyFont="1" applyBorder="1" applyAlignment="1">
      <alignment horizontal="right" vertical="top" wrapText="1"/>
      <protection/>
    </xf>
    <xf numFmtId="0" fontId="4" fillId="33" borderId="57" xfId="0" applyFont="1" applyFill="1" applyBorder="1" applyAlignment="1">
      <alignment horizontal="left" wrapText="1"/>
    </xf>
    <xf numFmtId="2" fontId="8" fillId="0" borderId="49" xfId="44" applyNumberFormat="1" applyFont="1" applyBorder="1" applyAlignment="1">
      <alignment horizontal="right" vertical="top" wrapText="1"/>
      <protection/>
    </xf>
    <xf numFmtId="2" fontId="5" fillId="0" borderId="48" xfId="0" applyNumberFormat="1" applyFont="1" applyBorder="1" applyAlignment="1">
      <alignment/>
    </xf>
    <xf numFmtId="2" fontId="69" fillId="0" borderId="35" xfId="0" applyNumberFormat="1" applyFont="1" applyBorder="1" applyAlignment="1">
      <alignment horizontal="right"/>
    </xf>
    <xf numFmtId="2" fontId="8" fillId="0" borderId="34" xfId="44" applyNumberFormat="1" applyFont="1" applyBorder="1" applyAlignment="1">
      <alignment horizontal="right" vertical="top" wrapText="1"/>
      <protection/>
    </xf>
    <xf numFmtId="2" fontId="76" fillId="0" borderId="28" xfId="0" applyNumberFormat="1" applyFont="1" applyBorder="1" applyAlignment="1">
      <alignment/>
    </xf>
    <xf numFmtId="2" fontId="76" fillId="0" borderId="31" xfId="0" applyNumberFormat="1" applyFont="1" applyBorder="1" applyAlignment="1">
      <alignment/>
    </xf>
    <xf numFmtId="2" fontId="76" fillId="0" borderId="32" xfId="0" applyNumberFormat="1" applyFont="1" applyBorder="1" applyAlignment="1">
      <alignment/>
    </xf>
    <xf numFmtId="2" fontId="70" fillId="0" borderId="35" xfId="0" applyNumberFormat="1" applyFont="1" applyBorder="1" applyAlignment="1">
      <alignment/>
    </xf>
    <xf numFmtId="2" fontId="1" fillId="0" borderId="42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2" fontId="1" fillId="0" borderId="5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left" vertical="center" wrapText="1"/>
    </xf>
    <xf numFmtId="2" fontId="4" fillId="33" borderId="23" xfId="0" applyNumberFormat="1" applyFont="1" applyFill="1" applyBorder="1" applyAlignment="1">
      <alignment vertical="center"/>
    </xf>
    <xf numFmtId="0" fontId="7" fillId="33" borderId="2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72" fillId="33" borderId="23" xfId="0" applyFont="1" applyFill="1" applyBorder="1" applyAlignment="1">
      <alignment horizontal="left" vertical="center" wrapText="1"/>
    </xf>
    <xf numFmtId="0" fontId="72" fillId="33" borderId="23" xfId="0" applyNumberFormat="1" applyFont="1" applyFill="1" applyBorder="1" applyAlignment="1">
      <alignment vertical="center"/>
    </xf>
    <xf numFmtId="2" fontId="74" fillId="0" borderId="27" xfId="0" applyNumberFormat="1" applyFont="1" applyBorder="1" applyAlignment="1">
      <alignment horizontal="right"/>
    </xf>
    <xf numFmtId="49" fontId="71" fillId="0" borderId="24" xfId="0" applyNumberFormat="1" applyFont="1" applyBorder="1" applyAlignment="1">
      <alignment horizontal="left"/>
    </xf>
    <xf numFmtId="0" fontId="71" fillId="0" borderId="15" xfId="0" applyFont="1" applyBorder="1" applyAlignment="1">
      <alignment horizontal="right"/>
    </xf>
    <xf numFmtId="0" fontId="78" fillId="0" borderId="15" xfId="0" applyFont="1" applyBorder="1" applyAlignment="1">
      <alignment horizontal="center" vertical="center" wrapText="1"/>
    </xf>
    <xf numFmtId="2" fontId="78" fillId="0" borderId="28" xfId="0" applyNumberFormat="1" applyFont="1" applyBorder="1" applyAlignment="1">
      <alignment/>
    </xf>
    <xf numFmtId="2" fontId="78" fillId="0" borderId="31" xfId="0" applyNumberFormat="1" applyFont="1" applyBorder="1" applyAlignment="1">
      <alignment/>
    </xf>
    <xf numFmtId="2" fontId="78" fillId="0" borderId="32" xfId="0" applyNumberFormat="1" applyFont="1" applyBorder="1" applyAlignment="1">
      <alignment/>
    </xf>
    <xf numFmtId="2" fontId="72" fillId="0" borderId="35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0" xfId="0" applyFont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2" fontId="0" fillId="34" borderId="14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0" fontId="7" fillId="33" borderId="25" xfId="0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2" fontId="7" fillId="33" borderId="14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3" fillId="34" borderId="16" xfId="0" applyFont="1" applyFill="1" applyBorder="1" applyAlignment="1">
      <alignment wrapText="1"/>
    </xf>
    <xf numFmtId="0" fontId="73" fillId="34" borderId="17" xfId="0" applyFont="1" applyFill="1" applyBorder="1" applyAlignment="1">
      <alignment wrapText="1"/>
    </xf>
    <xf numFmtId="0" fontId="73" fillId="34" borderId="18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wrapText="1"/>
    </xf>
    <xf numFmtId="0" fontId="75" fillId="34" borderId="17" xfId="0" applyFont="1" applyFill="1" applyBorder="1" applyAlignment="1">
      <alignment wrapText="1"/>
    </xf>
    <xf numFmtId="0" fontId="75" fillId="34" borderId="18" xfId="0" applyFont="1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view="pageBreakPreview" zoomScaleSheetLayoutView="100" zoomScalePageLayoutView="0" workbookViewId="0" topLeftCell="A298">
      <selection activeCell="L195" sqref="L195"/>
    </sheetView>
  </sheetViews>
  <sheetFormatPr defaultColWidth="9.00390625" defaultRowHeight="12.75"/>
  <cols>
    <col min="1" max="1" width="23.875" style="0" customWidth="1"/>
    <col min="2" max="2" width="10.375" style="0" customWidth="1"/>
    <col min="3" max="3" width="8.875" style="0" customWidth="1"/>
    <col min="4" max="4" width="7.875" style="0" customWidth="1"/>
    <col min="5" max="5" width="9.75390625" style="0" customWidth="1"/>
    <col min="6" max="6" width="10.125" style="0" customWidth="1"/>
    <col min="7" max="7" width="9.625" style="0" customWidth="1"/>
    <col min="8" max="8" width="10.00390625" style="0" customWidth="1"/>
    <col min="9" max="9" width="45.00390625" style="0" customWidth="1"/>
    <col min="10" max="11" width="9.875" style="0" customWidth="1"/>
    <col min="12" max="12" width="9.00390625" style="0" customWidth="1"/>
  </cols>
  <sheetData>
    <row r="1" spans="1:10" ht="15.75">
      <c r="A1" s="305" t="s">
        <v>36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6.5" thickBot="1">
      <c r="A2" s="306" t="s">
        <v>25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3.5" thickBot="1">
      <c r="A3" s="286"/>
      <c r="B3" s="307" t="s">
        <v>22</v>
      </c>
      <c r="C3" s="308"/>
      <c r="D3" s="308"/>
      <c r="E3" s="309"/>
      <c r="F3" s="307" t="s">
        <v>26</v>
      </c>
      <c r="G3" s="308"/>
      <c r="H3" s="308"/>
      <c r="I3" s="308"/>
      <c r="J3" s="309"/>
    </row>
    <row r="4" spans="1:10" ht="13.5" thickBot="1">
      <c r="A4" s="287"/>
      <c r="B4" s="272" t="s">
        <v>0</v>
      </c>
      <c r="C4" s="292" t="s">
        <v>34</v>
      </c>
      <c r="D4" s="272" t="s">
        <v>27</v>
      </c>
      <c r="E4" s="272" t="s">
        <v>1</v>
      </c>
      <c r="F4" s="272" t="s">
        <v>2</v>
      </c>
      <c r="G4" s="272" t="s">
        <v>3</v>
      </c>
      <c r="H4" s="272" t="s">
        <v>4</v>
      </c>
      <c r="I4" s="300" t="s">
        <v>5</v>
      </c>
      <c r="J4" s="301"/>
    </row>
    <row r="5" spans="1:10" ht="39" customHeight="1" thickBot="1">
      <c r="A5" s="288"/>
      <c r="B5" s="274"/>
      <c r="C5" s="293"/>
      <c r="D5" s="274"/>
      <c r="E5" s="274"/>
      <c r="F5" s="273"/>
      <c r="G5" s="273"/>
      <c r="H5" s="273"/>
      <c r="I5" s="7" t="s">
        <v>6</v>
      </c>
      <c r="J5" s="5" t="s">
        <v>7</v>
      </c>
    </row>
    <row r="6" spans="1:10" ht="13.5" thickBot="1">
      <c r="A6" s="14" t="s">
        <v>38</v>
      </c>
      <c r="B6" s="302"/>
      <c r="C6" s="303"/>
      <c r="D6" s="303"/>
      <c r="E6" s="304"/>
      <c r="F6" s="9"/>
      <c r="G6" s="10"/>
      <c r="H6" s="11"/>
      <c r="I6" s="28" t="s">
        <v>37</v>
      </c>
      <c r="J6" s="85">
        <v>-70444.11</v>
      </c>
    </row>
    <row r="7" spans="1:10" ht="13.5" thickBot="1">
      <c r="A7" s="270" t="s">
        <v>8</v>
      </c>
      <c r="B7" s="57">
        <f>17.67*1846.7016</f>
        <v>32631.217272000005</v>
      </c>
      <c r="C7" s="33">
        <f>E7-B7</f>
        <v>-7843.097272000006</v>
      </c>
      <c r="D7" s="32"/>
      <c r="E7" s="33">
        <v>24788.12</v>
      </c>
      <c r="F7" s="55">
        <f>B7*1</f>
        <v>32631.217272000005</v>
      </c>
      <c r="G7" s="30">
        <f>8.78*1846.7</f>
        <v>16214.026</v>
      </c>
      <c r="H7" s="33">
        <f>F7-G7+C7</f>
        <v>8574.093999999997</v>
      </c>
      <c r="I7" s="91" t="s">
        <v>45</v>
      </c>
      <c r="J7" s="92">
        <f>1.15*1846.7</f>
        <v>2123.705</v>
      </c>
    </row>
    <row r="8" spans="1:10" ht="12.75">
      <c r="A8" s="271"/>
      <c r="B8" s="39"/>
      <c r="C8" s="40"/>
      <c r="D8" s="40"/>
      <c r="E8" s="41"/>
      <c r="F8" s="42"/>
      <c r="G8" s="43"/>
      <c r="H8" s="41"/>
      <c r="I8" s="79" t="s">
        <v>31</v>
      </c>
      <c r="J8" s="86">
        <f>1.21*1846.7</f>
        <v>2234.507</v>
      </c>
    </row>
    <row r="9" spans="1:10" ht="12.75">
      <c r="A9" s="271"/>
      <c r="B9" s="39"/>
      <c r="C9" s="40"/>
      <c r="D9" s="40"/>
      <c r="E9" s="41"/>
      <c r="F9" s="42"/>
      <c r="G9" s="43"/>
      <c r="H9" s="41"/>
      <c r="I9" s="79" t="s">
        <v>32</v>
      </c>
      <c r="J9" s="86">
        <f>2.62*1846.7</f>
        <v>4838.354</v>
      </c>
    </row>
    <row r="10" spans="1:10" ht="24">
      <c r="A10" s="271"/>
      <c r="B10" s="39"/>
      <c r="C10" s="40"/>
      <c r="D10" s="40"/>
      <c r="E10" s="41" t="s">
        <v>24</v>
      </c>
      <c r="F10" s="42"/>
      <c r="G10" s="43"/>
      <c r="H10" s="41"/>
      <c r="I10" s="16" t="s">
        <v>30</v>
      </c>
      <c r="J10" s="29">
        <v>625</v>
      </c>
    </row>
    <row r="11" spans="1:10" ht="12.75" customHeight="1" thickBot="1">
      <c r="A11" s="271"/>
      <c r="B11" s="44"/>
      <c r="C11" s="45"/>
      <c r="D11" s="45"/>
      <c r="E11" s="46"/>
      <c r="F11" s="44"/>
      <c r="G11" s="45"/>
      <c r="H11" s="46"/>
      <c r="I11" s="16" t="s">
        <v>39</v>
      </c>
      <c r="J11" s="93">
        <v>20</v>
      </c>
    </row>
    <row r="12" spans="1:10" ht="13.5" thickBot="1">
      <c r="A12" s="272" t="s">
        <v>9</v>
      </c>
      <c r="B12" s="57">
        <f>17.67*1846.7016</f>
        <v>32631.217272000005</v>
      </c>
      <c r="C12" s="33">
        <f>E12-B12</f>
        <v>-2131.867272000007</v>
      </c>
      <c r="D12" s="32"/>
      <c r="E12" s="33">
        <v>30499.35</v>
      </c>
      <c r="F12" s="34">
        <f>B12*1</f>
        <v>32631.217272000005</v>
      </c>
      <c r="G12" s="30">
        <f>8.78*1846.7</f>
        <v>16214.026</v>
      </c>
      <c r="H12" s="33">
        <f>F12-G12+C12</f>
        <v>14285.323999999997</v>
      </c>
      <c r="I12" s="91" t="s">
        <v>45</v>
      </c>
      <c r="J12" s="92">
        <f>1.15*1846.7</f>
        <v>2123.705</v>
      </c>
    </row>
    <row r="13" spans="1:10" ht="12.75">
      <c r="A13" s="271"/>
      <c r="B13" s="140"/>
      <c r="C13" s="59"/>
      <c r="D13" s="59"/>
      <c r="E13" s="60"/>
      <c r="F13" s="61"/>
      <c r="G13" s="62"/>
      <c r="H13" s="60"/>
      <c r="I13" s="79" t="s">
        <v>31</v>
      </c>
      <c r="J13" s="86">
        <f>1.21*1846.7</f>
        <v>2234.507</v>
      </c>
    </row>
    <row r="14" spans="1:10" ht="13.5" thickBot="1">
      <c r="A14" s="271"/>
      <c r="B14" s="39"/>
      <c r="C14" s="66"/>
      <c r="D14" s="66"/>
      <c r="E14" s="67"/>
      <c r="F14" s="68"/>
      <c r="G14" s="100"/>
      <c r="H14" s="67"/>
      <c r="I14" s="79" t="s">
        <v>32</v>
      </c>
      <c r="J14" s="86">
        <f>2.62*1846.7</f>
        <v>4838.354</v>
      </c>
    </row>
    <row r="15" spans="1:10" ht="13.5" thickBot="1">
      <c r="A15" s="270" t="s">
        <v>10</v>
      </c>
      <c r="B15" s="57">
        <f>17.67*1846.7016</f>
        <v>32631.217272000005</v>
      </c>
      <c r="C15" s="33">
        <f>E15-B15</f>
        <v>5584.742727999994</v>
      </c>
      <c r="D15" s="32"/>
      <c r="E15" s="33">
        <v>38215.96</v>
      </c>
      <c r="F15" s="56">
        <f>B15*1</f>
        <v>32631.217272000005</v>
      </c>
      <c r="G15" s="30">
        <f>8.78*1846.7</f>
        <v>16214.026</v>
      </c>
      <c r="H15" s="83">
        <f>F15-G15+C15</f>
        <v>22001.933999999997</v>
      </c>
      <c r="I15" s="91" t="s">
        <v>45</v>
      </c>
      <c r="J15" s="92">
        <f>1.15*1846.7</f>
        <v>2123.705</v>
      </c>
    </row>
    <row r="16" spans="1:10" ht="12.75">
      <c r="A16" s="271"/>
      <c r="B16" s="140"/>
      <c r="C16" s="59"/>
      <c r="D16" s="59"/>
      <c r="E16" s="60"/>
      <c r="F16" s="61"/>
      <c r="G16" s="62"/>
      <c r="H16" s="60"/>
      <c r="I16" s="79" t="s">
        <v>31</v>
      </c>
      <c r="J16" s="86">
        <f>1.21*1846.7</f>
        <v>2234.507</v>
      </c>
    </row>
    <row r="17" spans="1:10" ht="12.75">
      <c r="A17" s="271"/>
      <c r="B17" s="39"/>
      <c r="C17" s="66"/>
      <c r="D17" s="66"/>
      <c r="E17" s="67"/>
      <c r="F17" s="68"/>
      <c r="G17" s="100"/>
      <c r="H17" s="67"/>
      <c r="I17" s="79" t="s">
        <v>32</v>
      </c>
      <c r="J17" s="86">
        <f>2.62*1846.7</f>
        <v>4838.354</v>
      </c>
    </row>
    <row r="18" spans="1:10" ht="12.75" customHeight="1" thickBot="1">
      <c r="A18" s="271"/>
      <c r="B18" s="143"/>
      <c r="C18" s="73"/>
      <c r="D18" s="73"/>
      <c r="E18" s="74"/>
      <c r="F18" s="72"/>
      <c r="G18" s="73"/>
      <c r="H18" s="74"/>
      <c r="I18" s="16" t="s">
        <v>40</v>
      </c>
      <c r="J18" s="103">
        <v>292</v>
      </c>
    </row>
    <row r="19" spans="1:10" ht="13.5" thickBot="1">
      <c r="A19" s="270" t="s">
        <v>11</v>
      </c>
      <c r="B19" s="57">
        <f>17.67*1846.7016</f>
        <v>32631.217272000005</v>
      </c>
      <c r="C19" s="33">
        <f>E19-B19</f>
        <v>3724.692727999998</v>
      </c>
      <c r="D19" s="32"/>
      <c r="E19" s="33">
        <v>36355.91</v>
      </c>
      <c r="F19" s="55">
        <f>B19*1</f>
        <v>32631.217272000005</v>
      </c>
      <c r="G19" s="30">
        <f>8.78*1846.7</f>
        <v>16214.026</v>
      </c>
      <c r="H19" s="33">
        <f>F19-G19+C19</f>
        <v>20141.884000000002</v>
      </c>
      <c r="I19" s="91" t="s">
        <v>45</v>
      </c>
      <c r="J19" s="92">
        <f>1.15*1846.7</f>
        <v>2123.705</v>
      </c>
    </row>
    <row r="20" spans="1:10" ht="12.75">
      <c r="A20" s="271"/>
      <c r="B20" s="140"/>
      <c r="C20" s="59"/>
      <c r="D20" s="59"/>
      <c r="E20" s="60"/>
      <c r="F20" s="61"/>
      <c r="G20" s="62"/>
      <c r="H20" s="60"/>
      <c r="I20" s="79" t="s">
        <v>31</v>
      </c>
      <c r="J20" s="86">
        <f>1.21*1846.7</f>
        <v>2234.507</v>
      </c>
    </row>
    <row r="21" spans="1:10" ht="12.75">
      <c r="A21" s="271"/>
      <c r="B21" s="39"/>
      <c r="C21" s="66"/>
      <c r="D21" s="66"/>
      <c r="E21" s="67"/>
      <c r="F21" s="68"/>
      <c r="G21" s="100"/>
      <c r="H21" s="67"/>
      <c r="I21" s="79" t="s">
        <v>32</v>
      </c>
      <c r="J21" s="86">
        <f>2.62*1846.7</f>
        <v>4838.354</v>
      </c>
    </row>
    <row r="22" spans="1:10" ht="12.75">
      <c r="A22" s="271"/>
      <c r="B22" s="39"/>
      <c r="C22" s="66"/>
      <c r="D22" s="66"/>
      <c r="E22" s="67"/>
      <c r="F22" s="68"/>
      <c r="G22" s="100"/>
      <c r="H22" s="67"/>
      <c r="I22" s="79" t="s">
        <v>41</v>
      </c>
      <c r="J22" s="102">
        <v>1246</v>
      </c>
    </row>
    <row r="23" spans="1:10" ht="12.75">
      <c r="A23" s="271"/>
      <c r="B23" s="39"/>
      <c r="C23" s="66"/>
      <c r="D23" s="66"/>
      <c r="E23" s="67"/>
      <c r="F23" s="68"/>
      <c r="G23" s="100"/>
      <c r="H23" s="67"/>
      <c r="I23" s="15" t="s">
        <v>42</v>
      </c>
      <c r="J23" s="88">
        <v>470</v>
      </c>
    </row>
    <row r="24" spans="1:10" ht="14.25" customHeight="1">
      <c r="A24" s="271"/>
      <c r="B24" s="39"/>
      <c r="C24" s="66"/>
      <c r="D24" s="66"/>
      <c r="E24" s="67"/>
      <c r="F24" s="68"/>
      <c r="G24" s="100"/>
      <c r="H24" s="67"/>
      <c r="I24" s="79" t="s">
        <v>43</v>
      </c>
      <c r="J24" s="88">
        <f>10*15</f>
        <v>150</v>
      </c>
    </row>
    <row r="25" spans="1:10" ht="12.75">
      <c r="A25" s="271"/>
      <c r="B25" s="39"/>
      <c r="C25" s="66"/>
      <c r="D25" s="66"/>
      <c r="E25" s="67"/>
      <c r="F25" s="68"/>
      <c r="G25" s="100"/>
      <c r="H25" s="67"/>
      <c r="I25" s="79" t="s">
        <v>23</v>
      </c>
      <c r="J25" s="88">
        <v>450</v>
      </c>
    </row>
    <row r="26" spans="1:10" ht="24.75" thickBot="1">
      <c r="A26" s="271"/>
      <c r="B26" s="39"/>
      <c r="C26" s="66"/>
      <c r="D26" s="66"/>
      <c r="E26" s="67"/>
      <c r="F26" s="68"/>
      <c r="G26" s="100"/>
      <c r="H26" s="67"/>
      <c r="I26" s="15" t="s">
        <v>44</v>
      </c>
      <c r="J26" s="88">
        <v>6336</v>
      </c>
    </row>
    <row r="27" spans="1:10" ht="13.5" thickBot="1">
      <c r="A27" s="270" t="s">
        <v>12</v>
      </c>
      <c r="B27" s="57">
        <f>17.67*1846.7016</f>
        <v>32631.217272000005</v>
      </c>
      <c r="C27" s="33">
        <f>E27-B27</f>
        <v>1671.5227279999926</v>
      </c>
      <c r="D27" s="32"/>
      <c r="E27" s="33">
        <v>34302.74</v>
      </c>
      <c r="F27" s="55">
        <f>B27*1</f>
        <v>32631.217272000005</v>
      </c>
      <c r="G27" s="30">
        <f>8.78*1846.7</f>
        <v>16214.026</v>
      </c>
      <c r="H27" s="33">
        <f>F27-G27+C27</f>
        <v>18088.713999999996</v>
      </c>
      <c r="I27" s="91" t="s">
        <v>45</v>
      </c>
      <c r="J27" s="92">
        <f>1.15*1846.7</f>
        <v>2123.705</v>
      </c>
    </row>
    <row r="28" spans="1:10" ht="12.75">
      <c r="A28" s="271"/>
      <c r="B28" s="140"/>
      <c r="C28" s="59"/>
      <c r="D28" s="59"/>
      <c r="E28" s="60"/>
      <c r="F28" s="61"/>
      <c r="G28" s="62"/>
      <c r="H28" s="60"/>
      <c r="I28" s="79" t="s">
        <v>31</v>
      </c>
      <c r="J28" s="86">
        <f>1.21*1846.7</f>
        <v>2234.507</v>
      </c>
    </row>
    <row r="29" spans="1:10" ht="13.5" thickBot="1">
      <c r="A29" s="271"/>
      <c r="B29" s="39"/>
      <c r="C29" s="66"/>
      <c r="D29" s="66"/>
      <c r="E29" s="67"/>
      <c r="F29" s="68"/>
      <c r="G29" s="100"/>
      <c r="H29" s="67"/>
      <c r="I29" s="79" t="s">
        <v>32</v>
      </c>
      <c r="J29" s="86">
        <f>2.62*1846.7</f>
        <v>4838.354</v>
      </c>
    </row>
    <row r="30" spans="1:10" ht="13.5" thickBot="1">
      <c r="A30" s="272" t="s">
        <v>13</v>
      </c>
      <c r="B30" s="57">
        <f>17.67*1846.7016</f>
        <v>32631.217272000005</v>
      </c>
      <c r="C30" s="33">
        <f>E30-B30</f>
        <v>-1147.1772720000045</v>
      </c>
      <c r="D30" s="32"/>
      <c r="E30" s="33">
        <v>31484.04</v>
      </c>
      <c r="F30" s="55">
        <f>B30*1</f>
        <v>32631.217272000005</v>
      </c>
      <c r="G30" s="30">
        <f>8.78*1846.7</f>
        <v>16214.026</v>
      </c>
      <c r="H30" s="33">
        <f>F30-G30+C30</f>
        <v>15270.014</v>
      </c>
      <c r="I30" s="91" t="s">
        <v>45</v>
      </c>
      <c r="J30" s="92">
        <f>1.15*1846.7</f>
        <v>2123.705</v>
      </c>
    </row>
    <row r="31" spans="1:10" ht="12.75">
      <c r="A31" s="273"/>
      <c r="B31" s="140"/>
      <c r="C31" s="59"/>
      <c r="D31" s="59"/>
      <c r="E31" s="60"/>
      <c r="F31" s="61"/>
      <c r="G31" s="62"/>
      <c r="H31" s="60"/>
      <c r="I31" s="79" t="s">
        <v>31</v>
      </c>
      <c r="J31" s="86">
        <f>1.21*1846.7</f>
        <v>2234.507</v>
      </c>
    </row>
    <row r="32" spans="1:10" ht="12.75">
      <c r="A32" s="273"/>
      <c r="B32" s="39"/>
      <c r="C32" s="66"/>
      <c r="D32" s="66"/>
      <c r="E32" s="67"/>
      <c r="F32" s="68"/>
      <c r="G32" s="100"/>
      <c r="H32" s="67"/>
      <c r="I32" s="79" t="s">
        <v>32</v>
      </c>
      <c r="J32" s="86">
        <f>2.62*1846.7</f>
        <v>4838.354</v>
      </c>
    </row>
    <row r="33" spans="1:10" ht="12.75">
      <c r="A33" s="273"/>
      <c r="B33" s="39"/>
      <c r="C33" s="66"/>
      <c r="D33" s="66"/>
      <c r="E33" s="67"/>
      <c r="F33" s="68"/>
      <c r="G33" s="100"/>
      <c r="H33" s="67"/>
      <c r="I33" s="129" t="s">
        <v>46</v>
      </c>
      <c r="J33" s="87">
        <v>50</v>
      </c>
    </row>
    <row r="34" spans="1:10" ht="27" customHeight="1" thickBot="1">
      <c r="A34" s="273"/>
      <c r="B34" s="39"/>
      <c r="C34" s="66"/>
      <c r="D34" s="66"/>
      <c r="E34" s="67"/>
      <c r="F34" s="68"/>
      <c r="G34" s="100"/>
      <c r="H34" s="67"/>
      <c r="I34" s="129" t="s">
        <v>47</v>
      </c>
      <c r="J34" s="87">
        <v>192</v>
      </c>
    </row>
    <row r="35" spans="1:10" ht="13.5" thickBot="1">
      <c r="A35" s="272" t="s">
        <v>14</v>
      </c>
      <c r="B35" s="57">
        <f>18.71*1846.7011</f>
        <v>34551.777581</v>
      </c>
      <c r="C35" s="33">
        <f>E35-B35</f>
        <v>-6943.887581000003</v>
      </c>
      <c r="D35" s="32"/>
      <c r="E35" s="33">
        <v>27607.89</v>
      </c>
      <c r="F35" s="55">
        <f>B35*1</f>
        <v>34551.777581</v>
      </c>
      <c r="G35" s="30">
        <f>(1.815+3.24+0.23+3.81)*1846.7</f>
        <v>16795.736500000003</v>
      </c>
      <c r="H35" s="33">
        <f>F35-G35+C35</f>
        <v>10812.153499999997</v>
      </c>
      <c r="I35" s="91" t="s">
        <v>45</v>
      </c>
      <c r="J35" s="92">
        <f>1.15*1846.7</f>
        <v>2123.705</v>
      </c>
    </row>
    <row r="36" spans="1:10" ht="12.75">
      <c r="A36" s="273"/>
      <c r="B36" s="140"/>
      <c r="C36" s="141"/>
      <c r="D36" s="141"/>
      <c r="E36" s="64"/>
      <c r="F36" s="142"/>
      <c r="G36" s="63"/>
      <c r="H36" s="64"/>
      <c r="I36" s="79" t="s">
        <v>31</v>
      </c>
      <c r="J36" s="86">
        <f>1.28*1846.7</f>
        <v>2363.7760000000003</v>
      </c>
    </row>
    <row r="37" spans="1:10" ht="12.75">
      <c r="A37" s="273"/>
      <c r="B37" s="39"/>
      <c r="C37" s="40"/>
      <c r="D37" s="40"/>
      <c r="E37" s="41"/>
      <c r="F37" s="42"/>
      <c r="G37" s="43"/>
      <c r="H37" s="41"/>
      <c r="I37" s="79" t="s">
        <v>32</v>
      </c>
      <c r="J37" s="86">
        <f>2.78*1846.7</f>
        <v>5133.826</v>
      </c>
    </row>
    <row r="38" spans="1:10" ht="12.75">
      <c r="A38" s="273"/>
      <c r="B38" s="39"/>
      <c r="C38" s="40"/>
      <c r="D38" s="40"/>
      <c r="E38" s="41"/>
      <c r="F38" s="42"/>
      <c r="G38" s="43"/>
      <c r="H38" s="41"/>
      <c r="I38" s="79" t="s">
        <v>53</v>
      </c>
      <c r="J38" s="88">
        <v>433</v>
      </c>
    </row>
    <row r="39" spans="1:10" ht="13.5" thickBot="1">
      <c r="A39" s="274"/>
      <c r="B39" s="44"/>
      <c r="C39" s="45"/>
      <c r="D39" s="45"/>
      <c r="E39" s="46"/>
      <c r="F39" s="44"/>
      <c r="G39" s="45"/>
      <c r="H39" s="46"/>
      <c r="I39" s="23" t="s">
        <v>48</v>
      </c>
      <c r="J39" s="149">
        <v>2400</v>
      </c>
    </row>
    <row r="40" spans="1:10" ht="12.75">
      <c r="A40" s="272" t="s">
        <v>14</v>
      </c>
      <c r="B40" s="150"/>
      <c r="C40" s="47"/>
      <c r="D40" s="47"/>
      <c r="E40" s="48"/>
      <c r="F40" s="150"/>
      <c r="G40" s="47"/>
      <c r="H40" s="48"/>
      <c r="I40" s="151" t="s">
        <v>29</v>
      </c>
      <c r="J40" s="105">
        <v>4105</v>
      </c>
    </row>
    <row r="41" spans="1:10" ht="24">
      <c r="A41" s="273"/>
      <c r="B41" s="143"/>
      <c r="C41" s="49"/>
      <c r="D41" s="49"/>
      <c r="E41" s="50"/>
      <c r="F41" s="143"/>
      <c r="G41" s="49"/>
      <c r="H41" s="50"/>
      <c r="I41" s="79" t="s">
        <v>49</v>
      </c>
      <c r="J41" s="135">
        <f>229+195</f>
        <v>424</v>
      </c>
    </row>
    <row r="42" spans="1:10" ht="12.75">
      <c r="A42" s="273"/>
      <c r="B42" s="143"/>
      <c r="C42" s="49"/>
      <c r="D42" s="49"/>
      <c r="E42" s="50"/>
      <c r="F42" s="143"/>
      <c r="G42" s="49"/>
      <c r="H42" s="50"/>
      <c r="I42" s="16" t="s">
        <v>33</v>
      </c>
      <c r="J42" s="135">
        <v>1497</v>
      </c>
    </row>
    <row r="43" spans="1:10" ht="12.75">
      <c r="A43" s="273"/>
      <c r="B43" s="143"/>
      <c r="C43" s="49"/>
      <c r="D43" s="49"/>
      <c r="E43" s="50"/>
      <c r="F43" s="143"/>
      <c r="G43" s="49"/>
      <c r="H43" s="50"/>
      <c r="I43" s="16" t="s">
        <v>52</v>
      </c>
      <c r="J43" s="135">
        <v>470</v>
      </c>
    </row>
    <row r="44" spans="1:10" ht="24.75" thickBot="1">
      <c r="A44" s="274"/>
      <c r="B44" s="44"/>
      <c r="C44" s="45"/>
      <c r="D44" s="45"/>
      <c r="E44" s="46"/>
      <c r="F44" s="44"/>
      <c r="G44" s="45"/>
      <c r="H44" s="46"/>
      <c r="I44" s="23" t="s">
        <v>76</v>
      </c>
      <c r="J44" s="152">
        <f>5.519*162.6</f>
        <v>897.3894</v>
      </c>
    </row>
    <row r="45" spans="1:10" ht="13.5" thickBot="1">
      <c r="A45" s="272" t="s">
        <v>15</v>
      </c>
      <c r="B45" s="57">
        <f>18.71*1846.7011</f>
        <v>34551.777581</v>
      </c>
      <c r="C45" s="33">
        <f>E45-B45</f>
        <v>-383.5475809999989</v>
      </c>
      <c r="D45" s="32"/>
      <c r="E45" s="117">
        <v>34168.23</v>
      </c>
      <c r="F45" s="84">
        <f>B45*1</f>
        <v>34551.777581</v>
      </c>
      <c r="G45" s="30">
        <f>(1.815+3.24+0.23+3.81)*1846.7</f>
        <v>16795.736500000003</v>
      </c>
      <c r="H45" s="83">
        <f>F45-G45+C45</f>
        <v>17372.4935</v>
      </c>
      <c r="I45" s="13" t="s">
        <v>45</v>
      </c>
      <c r="J45" s="92">
        <f>1.15*1846.7</f>
        <v>2123.705</v>
      </c>
    </row>
    <row r="46" spans="1:10" ht="12.75">
      <c r="A46" s="271"/>
      <c r="B46" s="58"/>
      <c r="C46" s="59"/>
      <c r="D46" s="59"/>
      <c r="E46" s="60"/>
      <c r="F46" s="61"/>
      <c r="G46" s="62"/>
      <c r="H46" s="60"/>
      <c r="I46" s="79" t="s">
        <v>31</v>
      </c>
      <c r="J46" s="86">
        <f>1.28*1846.7</f>
        <v>2363.7760000000003</v>
      </c>
    </row>
    <row r="47" spans="1:10" ht="12.75">
      <c r="A47" s="271"/>
      <c r="B47" s="65"/>
      <c r="C47" s="66"/>
      <c r="D47" s="66"/>
      <c r="E47" s="67"/>
      <c r="F47" s="68"/>
      <c r="G47" s="100"/>
      <c r="H47" s="67"/>
      <c r="I47" s="79" t="s">
        <v>32</v>
      </c>
      <c r="J47" s="86">
        <f>2.78*1846.7</f>
        <v>5133.826</v>
      </c>
    </row>
    <row r="48" spans="1:10" ht="12.75">
      <c r="A48" s="271"/>
      <c r="B48" s="65"/>
      <c r="C48" s="66"/>
      <c r="D48" s="66"/>
      <c r="E48" s="67"/>
      <c r="F48" s="68"/>
      <c r="G48" s="100"/>
      <c r="H48" s="67"/>
      <c r="I48" s="79" t="s">
        <v>50</v>
      </c>
      <c r="J48" s="93">
        <f>14755+2000+634</f>
        <v>17389</v>
      </c>
    </row>
    <row r="49" spans="1:10" ht="24">
      <c r="A49" s="271"/>
      <c r="B49" s="65"/>
      <c r="C49" s="66"/>
      <c r="D49" s="66"/>
      <c r="E49" s="67"/>
      <c r="F49" s="68"/>
      <c r="G49" s="100"/>
      <c r="H49" s="67"/>
      <c r="I49" s="119" t="s">
        <v>54</v>
      </c>
      <c r="J49" s="102">
        <v>297.8</v>
      </c>
    </row>
    <row r="50" spans="1:10" ht="24">
      <c r="A50" s="271"/>
      <c r="B50" s="65"/>
      <c r="C50" s="66"/>
      <c r="D50" s="66"/>
      <c r="E50" s="67"/>
      <c r="F50" s="68"/>
      <c r="G50" s="100"/>
      <c r="H50" s="67"/>
      <c r="I50" s="79" t="s">
        <v>51</v>
      </c>
      <c r="J50" s="88">
        <v>273</v>
      </c>
    </row>
    <row r="51" spans="1:10" ht="24">
      <c r="A51" s="271"/>
      <c r="B51" s="65"/>
      <c r="C51" s="66"/>
      <c r="D51" s="66"/>
      <c r="E51" s="67"/>
      <c r="F51" s="68"/>
      <c r="G51" s="100"/>
      <c r="H51" s="67"/>
      <c r="I51" s="79" t="s">
        <v>77</v>
      </c>
      <c r="J51" s="102">
        <v>120</v>
      </c>
    </row>
    <row r="52" spans="1:10" ht="24.75" customHeight="1" thickBot="1">
      <c r="A52" s="271"/>
      <c r="B52" s="65"/>
      <c r="C52" s="66"/>
      <c r="D52" s="66"/>
      <c r="E52" s="67"/>
      <c r="F52" s="68"/>
      <c r="G52" s="100"/>
      <c r="H52" s="67"/>
      <c r="I52" s="17" t="s">
        <v>78</v>
      </c>
      <c r="J52" s="102">
        <v>210</v>
      </c>
    </row>
    <row r="53" spans="1:10" ht="13.5" thickBot="1">
      <c r="A53" s="270" t="s">
        <v>16</v>
      </c>
      <c r="B53" s="57">
        <f>18.71*1846.7011</f>
        <v>34551.777581</v>
      </c>
      <c r="C53" s="33">
        <f>E53-B53</f>
        <v>3655.712418999996</v>
      </c>
      <c r="D53" s="32"/>
      <c r="E53" s="118">
        <v>38207.49</v>
      </c>
      <c r="F53" s="55">
        <f>B53*1</f>
        <v>34551.777581</v>
      </c>
      <c r="G53" s="30">
        <f>(1.815+3.24+0.23+3.81)*1846.7</f>
        <v>16795.736500000003</v>
      </c>
      <c r="H53" s="33">
        <f>F53-G53+C53</f>
        <v>21411.753499999995</v>
      </c>
      <c r="I53" s="91" t="s">
        <v>45</v>
      </c>
      <c r="J53" s="92">
        <f>1.15*1846.7</f>
        <v>2123.705</v>
      </c>
    </row>
    <row r="54" spans="1:10" ht="12.75">
      <c r="A54" s="271"/>
      <c r="B54" s="58"/>
      <c r="C54" s="59"/>
      <c r="D54" s="59"/>
      <c r="E54" s="60"/>
      <c r="F54" s="61"/>
      <c r="G54" s="62"/>
      <c r="H54" s="60"/>
      <c r="I54" s="79" t="s">
        <v>31</v>
      </c>
      <c r="J54" s="86">
        <f>1.28*1846.7</f>
        <v>2363.7760000000003</v>
      </c>
    </row>
    <row r="55" spans="1:10" ht="12.75">
      <c r="A55" s="271"/>
      <c r="B55" s="65"/>
      <c r="C55" s="66"/>
      <c r="D55" s="66"/>
      <c r="E55" s="67"/>
      <c r="F55" s="68"/>
      <c r="G55" s="100"/>
      <c r="H55" s="67"/>
      <c r="I55" s="79" t="s">
        <v>32</v>
      </c>
      <c r="J55" s="86">
        <f>2.78*1846.7</f>
        <v>5133.826</v>
      </c>
    </row>
    <row r="56" spans="1:10" ht="12.75">
      <c r="A56" s="271"/>
      <c r="B56" s="65"/>
      <c r="C56" s="66"/>
      <c r="D56" s="66"/>
      <c r="E56" s="67"/>
      <c r="F56" s="68"/>
      <c r="G56" s="100"/>
      <c r="H56" s="67"/>
      <c r="I56" s="77" t="s">
        <v>55</v>
      </c>
      <c r="J56" s="136">
        <v>20682</v>
      </c>
    </row>
    <row r="57" spans="1:10" ht="24">
      <c r="A57" s="271"/>
      <c r="B57" s="65"/>
      <c r="C57" s="66"/>
      <c r="D57" s="66"/>
      <c r="E57" s="67"/>
      <c r="F57" s="68"/>
      <c r="G57" s="100"/>
      <c r="H57" s="67"/>
      <c r="I57" s="77" t="s">
        <v>79</v>
      </c>
      <c r="J57" s="147">
        <v>1908.5</v>
      </c>
    </row>
    <row r="58" spans="1:10" ht="12.75" customHeight="1">
      <c r="A58" s="271"/>
      <c r="B58" s="65"/>
      <c r="C58" s="66"/>
      <c r="D58" s="66"/>
      <c r="E58" s="67"/>
      <c r="F58" s="68"/>
      <c r="G58" s="100"/>
      <c r="H58" s="67"/>
      <c r="I58" s="121" t="s">
        <v>56</v>
      </c>
      <c r="J58" s="137">
        <v>320</v>
      </c>
    </row>
    <row r="59" spans="1:10" ht="24.75" customHeight="1">
      <c r="A59" s="271"/>
      <c r="B59" s="65"/>
      <c r="C59" s="66"/>
      <c r="D59" s="66"/>
      <c r="E59" s="67"/>
      <c r="F59" s="68"/>
      <c r="G59" s="100"/>
      <c r="H59" s="67"/>
      <c r="I59" s="17" t="s">
        <v>57</v>
      </c>
      <c r="J59" s="137">
        <v>305</v>
      </c>
    </row>
    <row r="60" spans="1:10" ht="12.75" customHeight="1">
      <c r="A60" s="271"/>
      <c r="B60" s="65"/>
      <c r="C60" s="66"/>
      <c r="D60" s="66"/>
      <c r="E60" s="67"/>
      <c r="F60" s="68"/>
      <c r="G60" s="100"/>
      <c r="H60" s="67"/>
      <c r="I60" s="122" t="s">
        <v>58</v>
      </c>
      <c r="J60" s="137">
        <v>2000</v>
      </c>
    </row>
    <row r="61" spans="1:10" ht="13.5" customHeight="1" thickBot="1">
      <c r="A61" s="271"/>
      <c r="B61" s="65"/>
      <c r="C61" s="66"/>
      <c r="D61" s="66"/>
      <c r="E61" s="67"/>
      <c r="F61" s="68"/>
      <c r="G61" s="100"/>
      <c r="H61" s="67"/>
      <c r="I61" s="77" t="s">
        <v>59</v>
      </c>
      <c r="J61" s="137">
        <v>21890</v>
      </c>
    </row>
    <row r="62" spans="1:10" ht="13.5" thickBot="1">
      <c r="A62" s="270" t="s">
        <v>17</v>
      </c>
      <c r="B62" s="57">
        <f>18.71*1846.7011</f>
        <v>34551.777581</v>
      </c>
      <c r="C62" s="33">
        <f>E62-B62</f>
        <v>-3066.557581000001</v>
      </c>
      <c r="D62" s="32"/>
      <c r="E62" s="33">
        <v>31485.22</v>
      </c>
      <c r="F62" s="55">
        <f>B62*1</f>
        <v>34551.777581</v>
      </c>
      <c r="G62" s="30">
        <f>(1.815+3.24+0.23+3.81)*1846.7</f>
        <v>16795.736500000003</v>
      </c>
      <c r="H62" s="33">
        <f>F62-G62+C62</f>
        <v>14689.483499999998</v>
      </c>
      <c r="I62" s="91" t="s">
        <v>45</v>
      </c>
      <c r="J62" s="92">
        <f>1.15*1846.7</f>
        <v>2123.705</v>
      </c>
    </row>
    <row r="63" spans="1:10" ht="12.75">
      <c r="A63" s="271"/>
      <c r="B63" s="58"/>
      <c r="C63" s="59"/>
      <c r="D63" s="59"/>
      <c r="E63" s="60"/>
      <c r="F63" s="61"/>
      <c r="G63" s="62"/>
      <c r="H63" s="60"/>
      <c r="I63" s="79" t="s">
        <v>31</v>
      </c>
      <c r="J63" s="86">
        <f>1.28*1846.7</f>
        <v>2363.7760000000003</v>
      </c>
    </row>
    <row r="64" spans="1:10" ht="12.75">
      <c r="A64" s="271"/>
      <c r="B64" s="144"/>
      <c r="C64" s="66"/>
      <c r="D64" s="66"/>
      <c r="E64" s="67"/>
      <c r="F64" s="68"/>
      <c r="G64" s="100"/>
      <c r="H64" s="67"/>
      <c r="I64" s="79" t="s">
        <v>32</v>
      </c>
      <c r="J64" s="86">
        <f>2.78*1846.7</f>
        <v>5133.826</v>
      </c>
    </row>
    <row r="65" spans="1:10" ht="24.75" customHeight="1">
      <c r="A65" s="271"/>
      <c r="B65" s="68"/>
      <c r="C65" s="145"/>
      <c r="D65" s="66"/>
      <c r="E65" s="67"/>
      <c r="F65" s="68"/>
      <c r="G65" s="100"/>
      <c r="H65" s="67"/>
      <c r="I65" s="129" t="s">
        <v>62</v>
      </c>
      <c r="J65" s="102">
        <f>183+4696.5</f>
        <v>4879.5</v>
      </c>
    </row>
    <row r="66" spans="1:10" ht="12.75">
      <c r="A66" s="271"/>
      <c r="B66" s="65"/>
      <c r="C66" s="66"/>
      <c r="D66" s="66"/>
      <c r="E66" s="67"/>
      <c r="F66" s="68"/>
      <c r="G66" s="100"/>
      <c r="H66" s="67"/>
      <c r="I66" s="123" t="s">
        <v>60</v>
      </c>
      <c r="J66" s="88">
        <v>3000</v>
      </c>
    </row>
    <row r="67" spans="1:10" ht="24">
      <c r="A67" s="271"/>
      <c r="B67" s="65"/>
      <c r="C67" s="66"/>
      <c r="D67" s="66"/>
      <c r="E67" s="67"/>
      <c r="F67" s="68"/>
      <c r="G67" s="100"/>
      <c r="H67" s="67"/>
      <c r="I67" s="77" t="s">
        <v>61</v>
      </c>
      <c r="J67" s="80">
        <v>3935</v>
      </c>
    </row>
    <row r="68" spans="1:10" ht="12.75" customHeight="1" thickBot="1">
      <c r="A68" s="271"/>
      <c r="B68" s="94"/>
      <c r="C68" s="95"/>
      <c r="D68" s="95"/>
      <c r="E68" s="96"/>
      <c r="F68" s="68"/>
      <c r="G68" s="100"/>
      <c r="H68" s="67"/>
      <c r="I68" s="138" t="s">
        <v>63</v>
      </c>
      <c r="J68" s="80">
        <f>51120/2</f>
        <v>25560</v>
      </c>
    </row>
    <row r="69" spans="1:10" ht="13.5" thickBot="1">
      <c r="A69" s="272" t="s">
        <v>18</v>
      </c>
      <c r="B69" s="57">
        <f>18.71*1846.7011</f>
        <v>34551.777581</v>
      </c>
      <c r="C69" s="33">
        <f>E69-B69</f>
        <v>-3553.8275810000014</v>
      </c>
      <c r="D69" s="32"/>
      <c r="E69" s="33">
        <v>30997.95</v>
      </c>
      <c r="F69" s="55">
        <f>B69*1</f>
        <v>34551.777581</v>
      </c>
      <c r="G69" s="30">
        <f>(1.815+3.24+0.23+3.81)*1846.7</f>
        <v>16795.736500000003</v>
      </c>
      <c r="H69" s="33">
        <f>F69-G69+C69</f>
        <v>14202.213499999998</v>
      </c>
      <c r="I69" s="91" t="s">
        <v>45</v>
      </c>
      <c r="J69" s="92">
        <f>1.15*1846.7</f>
        <v>2123.705</v>
      </c>
    </row>
    <row r="70" spans="1:10" ht="12.75">
      <c r="A70" s="273"/>
      <c r="B70" s="58"/>
      <c r="C70" s="59"/>
      <c r="D70" s="59"/>
      <c r="E70" s="60"/>
      <c r="F70" s="61"/>
      <c r="G70" s="62"/>
      <c r="H70" s="60"/>
      <c r="I70" s="79" t="s">
        <v>31</v>
      </c>
      <c r="J70" s="86">
        <f>1.28*1846.7</f>
        <v>2363.7760000000003</v>
      </c>
    </row>
    <row r="71" spans="1:10" ht="12.75">
      <c r="A71" s="273"/>
      <c r="B71" s="65"/>
      <c r="C71" s="66"/>
      <c r="D71" s="66"/>
      <c r="E71" s="67"/>
      <c r="F71" s="68"/>
      <c r="G71" s="100"/>
      <c r="H71" s="67"/>
      <c r="I71" s="79" t="s">
        <v>32</v>
      </c>
      <c r="J71" s="86">
        <f>2.78*1846.7</f>
        <v>5133.826</v>
      </c>
    </row>
    <row r="72" spans="1:10" ht="24">
      <c r="A72" s="273"/>
      <c r="B72" s="65"/>
      <c r="C72" s="66"/>
      <c r="D72" s="66"/>
      <c r="E72" s="67"/>
      <c r="F72" s="68"/>
      <c r="G72" s="100"/>
      <c r="H72" s="67"/>
      <c r="I72" s="121" t="s">
        <v>65</v>
      </c>
      <c r="J72" s="80">
        <f>283+850+425</f>
        <v>1558</v>
      </c>
    </row>
    <row r="73" spans="1:10" ht="25.5" customHeight="1" thickBot="1">
      <c r="A73" s="274"/>
      <c r="B73" s="94"/>
      <c r="C73" s="95"/>
      <c r="D73" s="95"/>
      <c r="E73" s="96"/>
      <c r="F73" s="97"/>
      <c r="G73" s="139"/>
      <c r="H73" s="96"/>
      <c r="I73" s="153" t="s">
        <v>64</v>
      </c>
      <c r="J73" s="107">
        <v>864</v>
      </c>
    </row>
    <row r="74" spans="1:10" ht="12.75">
      <c r="A74" s="272" t="s">
        <v>18</v>
      </c>
      <c r="B74" s="58"/>
      <c r="C74" s="59"/>
      <c r="D74" s="59"/>
      <c r="E74" s="60"/>
      <c r="F74" s="61"/>
      <c r="G74" s="62"/>
      <c r="H74" s="60"/>
      <c r="I74" s="151" t="s">
        <v>66</v>
      </c>
      <c r="J74" s="154">
        <v>839</v>
      </c>
    </row>
    <row r="75" spans="1:10" ht="12.75">
      <c r="A75" s="273"/>
      <c r="B75" s="65"/>
      <c r="C75" s="66"/>
      <c r="D75" s="66"/>
      <c r="E75" s="67"/>
      <c r="F75" s="68"/>
      <c r="G75" s="100"/>
      <c r="H75" s="67"/>
      <c r="I75" s="79" t="s">
        <v>67</v>
      </c>
      <c r="J75" s="148">
        <v>7885</v>
      </c>
    </row>
    <row r="76" spans="1:10" ht="13.5" thickBot="1">
      <c r="A76" s="274"/>
      <c r="B76" s="94"/>
      <c r="C76" s="95"/>
      <c r="D76" s="95"/>
      <c r="E76" s="96"/>
      <c r="F76" s="97"/>
      <c r="G76" s="139"/>
      <c r="H76" s="96"/>
      <c r="I76" s="155" t="s">
        <v>68</v>
      </c>
      <c r="J76" s="107">
        <v>752</v>
      </c>
    </row>
    <row r="77" spans="1:10" ht="13.5" thickBot="1">
      <c r="A77" s="272" t="s">
        <v>19</v>
      </c>
      <c r="B77" s="57">
        <f>18.71*1846.7011</f>
        <v>34551.777581</v>
      </c>
      <c r="C77" s="33">
        <f>E77-B77</f>
        <v>11733.652418999998</v>
      </c>
      <c r="D77" s="75"/>
      <c r="E77" s="33">
        <v>46285.43</v>
      </c>
      <c r="F77" s="55">
        <f>B77*1</f>
        <v>34551.777581</v>
      </c>
      <c r="G77" s="30">
        <f>(1.815+3.24+0.23+3.81)*1846.7</f>
        <v>16795.736500000003</v>
      </c>
      <c r="H77" s="33">
        <f>F77-G77+C77</f>
        <v>29489.693499999998</v>
      </c>
      <c r="I77" s="91" t="s">
        <v>45</v>
      </c>
      <c r="J77" s="92">
        <f>1.15*1846.7</f>
        <v>2123.705</v>
      </c>
    </row>
    <row r="78" spans="1:10" ht="12.75">
      <c r="A78" s="273"/>
      <c r="B78" s="65"/>
      <c r="C78" s="66"/>
      <c r="D78" s="73"/>
      <c r="E78" s="67"/>
      <c r="F78" s="68"/>
      <c r="G78" s="100"/>
      <c r="H78" s="67"/>
      <c r="I78" s="79" t="s">
        <v>31</v>
      </c>
      <c r="J78" s="86">
        <f>1.28*1846.7</f>
        <v>2363.7760000000003</v>
      </c>
    </row>
    <row r="79" spans="1:10" ht="12.75">
      <c r="A79" s="273"/>
      <c r="B79" s="65"/>
      <c r="C79" s="66"/>
      <c r="D79" s="73"/>
      <c r="E79" s="67"/>
      <c r="F79" s="68"/>
      <c r="G79" s="100"/>
      <c r="H79" s="67"/>
      <c r="I79" s="79" t="s">
        <v>32</v>
      </c>
      <c r="J79" s="86">
        <f>2.78*1846.7</f>
        <v>5133.826</v>
      </c>
    </row>
    <row r="80" spans="1:10" ht="12.75">
      <c r="A80" s="273"/>
      <c r="B80" s="65"/>
      <c r="C80" s="66"/>
      <c r="D80" s="73"/>
      <c r="E80" s="67"/>
      <c r="F80" s="68"/>
      <c r="G80" s="100"/>
      <c r="H80" s="67"/>
      <c r="I80" s="77" t="s">
        <v>69</v>
      </c>
      <c r="J80" s="102">
        <f>203+56+28+550</f>
        <v>837</v>
      </c>
    </row>
    <row r="81" spans="1:10" ht="12.75">
      <c r="A81" s="273"/>
      <c r="B81" s="126"/>
      <c r="C81" s="124"/>
      <c r="D81" s="125"/>
      <c r="E81" s="128"/>
      <c r="F81" s="127"/>
      <c r="G81" s="120"/>
      <c r="H81" s="128"/>
      <c r="I81" s="129" t="s">
        <v>70</v>
      </c>
      <c r="J81" s="88">
        <v>10</v>
      </c>
    </row>
    <row r="82" spans="1:10" ht="12.75">
      <c r="A82" s="273"/>
      <c r="B82" s="132"/>
      <c r="C82" s="130"/>
      <c r="D82" s="131"/>
      <c r="E82" s="134"/>
      <c r="F82" s="133"/>
      <c r="G82" s="120"/>
      <c r="H82" s="134"/>
      <c r="I82" s="77" t="s">
        <v>71</v>
      </c>
      <c r="J82" s="102">
        <f>716+932+612+185+25+50</f>
        <v>2520</v>
      </c>
    </row>
    <row r="83" spans="1:10" ht="12.75">
      <c r="A83" s="273"/>
      <c r="B83" s="132"/>
      <c r="C83" s="130"/>
      <c r="D83" s="131"/>
      <c r="E83" s="134"/>
      <c r="F83" s="133"/>
      <c r="G83" s="120"/>
      <c r="H83" s="134"/>
      <c r="I83" s="129" t="s">
        <v>72</v>
      </c>
      <c r="J83" s="88">
        <v>13000</v>
      </c>
    </row>
    <row r="84" spans="1:10" ht="24">
      <c r="A84" s="273"/>
      <c r="B84" s="132"/>
      <c r="C84" s="130"/>
      <c r="D84" s="131"/>
      <c r="E84" s="134"/>
      <c r="F84" s="133"/>
      <c r="G84" s="120"/>
      <c r="H84" s="134"/>
      <c r="I84" s="77" t="s">
        <v>73</v>
      </c>
      <c r="J84" s="88">
        <f>50+6795+680+25+140+30</f>
        <v>7720</v>
      </c>
    </row>
    <row r="85" spans="1:10" ht="24">
      <c r="A85" s="273"/>
      <c r="B85" s="132"/>
      <c r="C85" s="130"/>
      <c r="D85" s="131"/>
      <c r="E85" s="134"/>
      <c r="F85" s="133"/>
      <c r="G85" s="120"/>
      <c r="H85" s="134"/>
      <c r="I85" s="77" t="s">
        <v>74</v>
      </c>
      <c r="J85" s="88">
        <v>380</v>
      </c>
    </row>
    <row r="86" spans="1:10" ht="24">
      <c r="A86" s="273"/>
      <c r="B86" s="108"/>
      <c r="C86" s="109"/>
      <c r="D86" s="116"/>
      <c r="E86" s="110"/>
      <c r="F86" s="111"/>
      <c r="G86" s="112"/>
      <c r="H86" s="110"/>
      <c r="I86" s="16" t="s">
        <v>75</v>
      </c>
      <c r="J86" s="80">
        <f>1700/60*75</f>
        <v>2125</v>
      </c>
    </row>
    <row r="87" spans="1:10" ht="12.75">
      <c r="A87" s="273"/>
      <c r="B87" s="132"/>
      <c r="C87" s="130"/>
      <c r="D87" s="131"/>
      <c r="E87" s="134"/>
      <c r="F87" s="133"/>
      <c r="G87" s="120"/>
      <c r="H87" s="134"/>
      <c r="I87" s="146" t="s">
        <v>80</v>
      </c>
      <c r="J87" s="80">
        <v>59388</v>
      </c>
    </row>
    <row r="88" spans="1:10" ht="24.75" thickBot="1">
      <c r="A88" s="274"/>
      <c r="B88" s="113"/>
      <c r="C88" s="114"/>
      <c r="D88" s="114"/>
      <c r="E88" s="115"/>
      <c r="F88" s="113"/>
      <c r="G88" s="114"/>
      <c r="H88" s="115"/>
      <c r="I88" s="76" t="s">
        <v>28</v>
      </c>
      <c r="J88" s="90">
        <v>8402.42</v>
      </c>
    </row>
    <row r="89" spans="1:10" ht="13.5" thickBot="1">
      <c r="A89" s="19" t="s">
        <v>20</v>
      </c>
      <c r="B89" s="31">
        <f>SUM(B7:B77)</f>
        <v>403097.969118</v>
      </c>
      <c r="C89" s="35">
        <f>SUM(C7:C77)</f>
        <v>1300.3608819999572</v>
      </c>
      <c r="D89" s="35"/>
      <c r="E89" s="36">
        <f>SUM(E7:E88)</f>
        <v>404398.3300000001</v>
      </c>
      <c r="F89" s="37">
        <f>SUM(F7:F77)</f>
        <v>403097.969118</v>
      </c>
      <c r="G89" s="37">
        <f>SUM(G7:G77)</f>
        <v>198058.575</v>
      </c>
      <c r="H89" s="38">
        <f>SUM(H7:H77)</f>
        <v>206339.75499999995</v>
      </c>
      <c r="I89" s="20"/>
      <c r="J89" s="21"/>
    </row>
    <row r="90" spans="1:10" ht="13.5" thickBot="1">
      <c r="A90" s="6"/>
      <c r="B90" s="51"/>
      <c r="C90" s="52"/>
      <c r="D90" s="52"/>
      <c r="E90" s="53"/>
      <c r="F90" s="54"/>
      <c r="G90" s="54"/>
      <c r="H90" s="54"/>
      <c r="I90" s="12" t="s">
        <v>21</v>
      </c>
      <c r="J90" s="25">
        <f>SUM(J7:J88)</f>
        <v>342014.8474</v>
      </c>
    </row>
    <row r="91" spans="1:10" ht="13.5" thickBot="1">
      <c r="A91" s="4"/>
      <c r="B91" s="1"/>
      <c r="C91" s="2"/>
      <c r="D91" s="2"/>
      <c r="E91" s="3"/>
      <c r="F91" s="297"/>
      <c r="G91" s="298"/>
      <c r="H91" s="298"/>
      <c r="I91" s="299"/>
      <c r="J91" s="26"/>
    </row>
    <row r="92" spans="9:10" ht="13.5" thickBot="1">
      <c r="I92" s="8" t="s">
        <v>35</v>
      </c>
      <c r="J92" s="27">
        <f>H89+J6-J90</f>
        <v>-206119.20240000007</v>
      </c>
    </row>
    <row r="115" spans="1:10" ht="21.75" customHeight="1">
      <c r="A115" s="305" t="s">
        <v>81</v>
      </c>
      <c r="B115" s="305"/>
      <c r="C115" s="305"/>
      <c r="D115" s="305"/>
      <c r="E115" s="305"/>
      <c r="F115" s="305"/>
      <c r="G115" s="305"/>
      <c r="H115" s="305"/>
      <c r="I115" s="305"/>
      <c r="J115" s="305"/>
    </row>
    <row r="116" spans="1:10" ht="23.25" customHeight="1" thickBot="1">
      <c r="A116" s="306" t="s">
        <v>25</v>
      </c>
      <c r="B116" s="306"/>
      <c r="C116" s="306"/>
      <c r="D116" s="306"/>
      <c r="E116" s="306"/>
      <c r="F116" s="306"/>
      <c r="G116" s="306"/>
      <c r="H116" s="306"/>
      <c r="I116" s="306"/>
      <c r="J116" s="306"/>
    </row>
    <row r="117" spans="1:10" ht="23.25" customHeight="1" thickBot="1">
      <c r="A117" s="286"/>
      <c r="B117" s="310" t="s">
        <v>22</v>
      </c>
      <c r="C117" s="311"/>
      <c r="D117" s="311"/>
      <c r="E117" s="312"/>
      <c r="F117" s="310" t="s">
        <v>26</v>
      </c>
      <c r="G117" s="311"/>
      <c r="H117" s="311"/>
      <c r="I117" s="311"/>
      <c r="J117" s="312"/>
    </row>
    <row r="118" spans="1:10" ht="21" customHeight="1" thickBot="1">
      <c r="A118" s="287"/>
      <c r="B118" s="272" t="s">
        <v>0</v>
      </c>
      <c r="C118" s="292" t="s">
        <v>34</v>
      </c>
      <c r="D118" s="272" t="s">
        <v>27</v>
      </c>
      <c r="E118" s="272" t="s">
        <v>1</v>
      </c>
      <c r="F118" s="272" t="s">
        <v>2</v>
      </c>
      <c r="G118" s="272" t="s">
        <v>3</v>
      </c>
      <c r="H118" s="272" t="s">
        <v>4</v>
      </c>
      <c r="I118" s="279" t="s">
        <v>5</v>
      </c>
      <c r="J118" s="280"/>
    </row>
    <row r="119" spans="1:10" ht="40.5" customHeight="1" thickBot="1">
      <c r="A119" s="288"/>
      <c r="B119" s="274"/>
      <c r="C119" s="293"/>
      <c r="D119" s="274"/>
      <c r="E119" s="274"/>
      <c r="F119" s="273"/>
      <c r="G119" s="273"/>
      <c r="H119" s="273"/>
      <c r="I119" s="191" t="s">
        <v>6</v>
      </c>
      <c r="J119" s="192" t="s">
        <v>7</v>
      </c>
    </row>
    <row r="120" spans="1:10" ht="22.5" customHeight="1" thickBot="1">
      <c r="A120" s="183" t="s">
        <v>82</v>
      </c>
      <c r="B120" s="302"/>
      <c r="C120" s="303"/>
      <c r="D120" s="303"/>
      <c r="E120" s="304"/>
      <c r="F120" s="9"/>
      <c r="G120" s="10"/>
      <c r="H120" s="11"/>
      <c r="I120" s="184" t="s">
        <v>83</v>
      </c>
      <c r="J120" s="185">
        <f>J92</f>
        <v>-206119.20240000007</v>
      </c>
    </row>
    <row r="121" spans="1:11" ht="13.5" thickBot="1">
      <c r="A121" s="270" t="s">
        <v>8</v>
      </c>
      <c r="B121" s="57">
        <f>18.71*1846.7014</f>
        <v>34551.783194</v>
      </c>
      <c r="C121" s="33">
        <f>E121-B121</f>
        <v>-7807.9531940000015</v>
      </c>
      <c r="D121" s="32"/>
      <c r="E121" s="33">
        <v>26743.83</v>
      </c>
      <c r="F121" s="55">
        <f>B121*1</f>
        <v>34551.783194</v>
      </c>
      <c r="G121" s="30">
        <f>(1.815+3.24+0.23+3.81)*1846.7</f>
        <v>16795.736500000003</v>
      </c>
      <c r="H121" s="33">
        <f>F121-G121+C121</f>
        <v>9948.093499999999</v>
      </c>
      <c r="I121" s="175" t="s">
        <v>32</v>
      </c>
      <c r="J121" s="176">
        <f>2.78*1846.7+0.99*1846.7</f>
        <v>6962.059</v>
      </c>
      <c r="K121" s="174"/>
    </row>
    <row r="122" spans="1:11" ht="12.75">
      <c r="A122" s="271"/>
      <c r="B122" s="132"/>
      <c r="C122" s="66"/>
      <c r="D122" s="66"/>
      <c r="E122" s="67"/>
      <c r="F122" s="68"/>
      <c r="G122" s="120"/>
      <c r="H122" s="134"/>
      <c r="I122" s="18" t="s">
        <v>85</v>
      </c>
      <c r="J122" s="177">
        <f>1.28*1846.7</f>
        <v>2363.7760000000003</v>
      </c>
      <c r="K122" s="174"/>
    </row>
    <row r="123" spans="1:11" ht="12.75">
      <c r="A123" s="271"/>
      <c r="B123" s="132"/>
      <c r="C123" s="66"/>
      <c r="D123" s="66"/>
      <c r="E123" s="67"/>
      <c r="F123" s="68"/>
      <c r="G123" s="120"/>
      <c r="H123" s="134"/>
      <c r="I123" s="181" t="s">
        <v>86</v>
      </c>
      <c r="J123" s="88">
        <v>1512</v>
      </c>
      <c r="K123" s="174"/>
    </row>
    <row r="124" spans="1:10" ht="24">
      <c r="A124" s="271"/>
      <c r="B124" s="132"/>
      <c r="C124" s="66"/>
      <c r="D124" s="66"/>
      <c r="E124" s="67" t="s">
        <v>24</v>
      </c>
      <c r="F124" s="68"/>
      <c r="G124" s="120"/>
      <c r="H124" s="134"/>
      <c r="I124" s="16" t="s">
        <v>87</v>
      </c>
      <c r="J124" s="29">
        <v>2280</v>
      </c>
    </row>
    <row r="125" spans="1:10" ht="12.75">
      <c r="A125" s="271"/>
      <c r="B125" s="132"/>
      <c r="C125" s="66"/>
      <c r="D125" s="66"/>
      <c r="E125" s="67"/>
      <c r="F125" s="68"/>
      <c r="G125" s="120"/>
      <c r="H125" s="134"/>
      <c r="I125" s="189" t="s">
        <v>88</v>
      </c>
      <c r="J125" s="93">
        <v>78</v>
      </c>
    </row>
    <row r="126" spans="1:10" ht="24">
      <c r="A126" s="271"/>
      <c r="B126" s="132"/>
      <c r="C126" s="66"/>
      <c r="D126" s="66"/>
      <c r="E126" s="67"/>
      <c r="F126" s="68"/>
      <c r="G126" s="120"/>
      <c r="H126" s="134"/>
      <c r="I126" s="189" t="s">
        <v>89</v>
      </c>
      <c r="J126" s="89">
        <v>1728.2</v>
      </c>
    </row>
    <row r="127" spans="1:10" ht="24.75" thickBot="1">
      <c r="A127" s="271"/>
      <c r="B127" s="113"/>
      <c r="C127" s="70"/>
      <c r="D127" s="70"/>
      <c r="E127" s="71"/>
      <c r="F127" s="69"/>
      <c r="G127" s="114"/>
      <c r="H127" s="115"/>
      <c r="I127" s="189" t="s">
        <v>90</v>
      </c>
      <c r="J127" s="149">
        <v>805</v>
      </c>
    </row>
    <row r="128" spans="1:10" ht="13.5" thickBot="1">
      <c r="A128" s="272" t="s">
        <v>9</v>
      </c>
      <c r="B128" s="57">
        <f>18.71*1846.7014</f>
        <v>34551.783194</v>
      </c>
      <c r="C128" s="33">
        <f>E128-B128</f>
        <v>-6385.543194000002</v>
      </c>
      <c r="D128" s="32"/>
      <c r="E128" s="33">
        <v>28166.24</v>
      </c>
      <c r="F128" s="34">
        <f>B128*1</f>
        <v>34551.783194</v>
      </c>
      <c r="G128" s="30">
        <f>(1.815+3.24+0.23+3.81)*1846.7</f>
        <v>16795.736500000003</v>
      </c>
      <c r="H128" s="33">
        <f>F128-G128+C128</f>
        <v>11370.503499999999</v>
      </c>
      <c r="I128" s="178" t="s">
        <v>32</v>
      </c>
      <c r="J128" s="176">
        <f>2.78*1846.7+0.99*1846.7</f>
        <v>6962.059</v>
      </c>
    </row>
    <row r="129" spans="1:10" ht="12.75">
      <c r="A129" s="271"/>
      <c r="B129" s="157"/>
      <c r="C129" s="59"/>
      <c r="D129" s="59"/>
      <c r="E129" s="60"/>
      <c r="F129" s="61"/>
      <c r="G129" s="161"/>
      <c r="H129" s="159"/>
      <c r="I129" s="18" t="s">
        <v>85</v>
      </c>
      <c r="J129" s="177">
        <f>1.28*1846.7</f>
        <v>2363.7760000000003</v>
      </c>
    </row>
    <row r="130" spans="1:10" ht="24.75" thickBot="1">
      <c r="A130" s="271"/>
      <c r="B130" s="132"/>
      <c r="C130" s="66"/>
      <c r="D130" s="66"/>
      <c r="E130" s="67"/>
      <c r="F130" s="68"/>
      <c r="G130" s="120"/>
      <c r="H130" s="134"/>
      <c r="I130" s="22" t="s">
        <v>91</v>
      </c>
      <c r="J130" s="88">
        <v>1900</v>
      </c>
    </row>
    <row r="131" spans="1:10" ht="13.5" thickBot="1">
      <c r="A131" s="270" t="s">
        <v>10</v>
      </c>
      <c r="B131" s="57">
        <f>18.71*1846.7011</f>
        <v>34551.777581</v>
      </c>
      <c r="C131" s="33">
        <f>E131-B131</f>
        <v>6495.492418999995</v>
      </c>
      <c r="D131" s="32"/>
      <c r="E131" s="33">
        <v>41047.27</v>
      </c>
      <c r="F131" s="56">
        <f>B131*1</f>
        <v>34551.777581</v>
      </c>
      <c r="G131" s="30">
        <f>(1.815+3.24+0.23+3.81)*1846.7</f>
        <v>16795.736500000003</v>
      </c>
      <c r="H131" s="83">
        <f>F131-G131+C131</f>
        <v>24251.533499999994</v>
      </c>
      <c r="I131" s="175" t="s">
        <v>32</v>
      </c>
      <c r="J131" s="176">
        <f>2.78*1846.7+0.99*1846.7</f>
        <v>6962.059</v>
      </c>
    </row>
    <row r="132" spans="1:10" ht="12.75">
      <c r="A132" s="271"/>
      <c r="B132" s="157"/>
      <c r="C132" s="59"/>
      <c r="D132" s="59"/>
      <c r="E132" s="60"/>
      <c r="F132" s="61"/>
      <c r="G132" s="161"/>
      <c r="H132" s="159"/>
      <c r="I132" s="18" t="s">
        <v>85</v>
      </c>
      <c r="J132" s="177">
        <f>1.28*1846.7</f>
        <v>2363.7760000000003</v>
      </c>
    </row>
    <row r="133" spans="1:10" ht="12.75">
      <c r="A133" s="271"/>
      <c r="B133" s="132"/>
      <c r="C133" s="66"/>
      <c r="D133" s="66"/>
      <c r="E133" s="67"/>
      <c r="F133" s="68"/>
      <c r="G133" s="120"/>
      <c r="H133" s="134"/>
      <c r="I133" s="129" t="s">
        <v>92</v>
      </c>
      <c r="J133" s="182">
        <v>20</v>
      </c>
    </row>
    <row r="134" spans="1:10" ht="12.75">
      <c r="A134" s="271"/>
      <c r="B134" s="132"/>
      <c r="C134" s="66"/>
      <c r="D134" s="66"/>
      <c r="E134" s="67"/>
      <c r="F134" s="68"/>
      <c r="G134" s="120"/>
      <c r="H134" s="134"/>
      <c r="I134" s="79" t="s">
        <v>93</v>
      </c>
      <c r="J134" s="182">
        <v>792</v>
      </c>
    </row>
    <row r="135" spans="1:10" ht="12.75">
      <c r="A135" s="271"/>
      <c r="B135" s="132"/>
      <c r="C135" s="66"/>
      <c r="D135" s="66"/>
      <c r="E135" s="67"/>
      <c r="F135" s="68"/>
      <c r="G135" s="120"/>
      <c r="H135" s="134"/>
      <c r="I135" s="77" t="s">
        <v>94</v>
      </c>
      <c r="J135" s="88">
        <v>3312</v>
      </c>
    </row>
    <row r="136" spans="1:10" ht="24">
      <c r="A136" s="271"/>
      <c r="B136" s="132"/>
      <c r="C136" s="66"/>
      <c r="D136" s="66"/>
      <c r="E136" s="67"/>
      <c r="F136" s="68"/>
      <c r="G136" s="120"/>
      <c r="H136" s="134"/>
      <c r="I136" s="16" t="s">
        <v>95</v>
      </c>
      <c r="J136" s="88">
        <v>1984</v>
      </c>
    </row>
    <row r="137" spans="1:10" ht="13.5" thickBot="1">
      <c r="A137" s="271"/>
      <c r="B137" s="162"/>
      <c r="C137" s="73"/>
      <c r="D137" s="73"/>
      <c r="E137" s="74"/>
      <c r="F137" s="72"/>
      <c r="G137" s="131"/>
      <c r="H137" s="163"/>
      <c r="I137" s="146" t="s">
        <v>96</v>
      </c>
      <c r="J137" s="147">
        <v>107732.53</v>
      </c>
    </row>
    <row r="138" spans="1:10" ht="13.5" thickBot="1">
      <c r="A138" s="270" t="s">
        <v>11</v>
      </c>
      <c r="B138" s="57">
        <f>18.71*1846.7011</f>
        <v>34551.777581</v>
      </c>
      <c r="C138" s="33">
        <f>E138-B138</f>
        <v>4753.642418999996</v>
      </c>
      <c r="D138" s="32"/>
      <c r="E138" s="33">
        <v>39305.42</v>
      </c>
      <c r="F138" s="55">
        <f>B138*1</f>
        <v>34551.777581</v>
      </c>
      <c r="G138" s="30">
        <f>(1.815+3.24+0.23+3.81)*1846.7</f>
        <v>16795.736500000003</v>
      </c>
      <c r="H138" s="33">
        <f>F138-G138+C138</f>
        <v>22509.683499999996</v>
      </c>
      <c r="I138" s="178" t="s">
        <v>32</v>
      </c>
      <c r="J138" s="176">
        <f>2.78*1846.7+0.99*1846.7</f>
        <v>6962.059</v>
      </c>
    </row>
    <row r="139" spans="1:10" ht="12.75">
      <c r="A139" s="271"/>
      <c r="B139" s="157"/>
      <c r="C139" s="59"/>
      <c r="D139" s="59"/>
      <c r="E139" s="60"/>
      <c r="F139" s="61"/>
      <c r="G139" s="161"/>
      <c r="H139" s="159"/>
      <c r="I139" s="18" t="s">
        <v>85</v>
      </c>
      <c r="J139" s="177">
        <f>1.28*1846.7</f>
        <v>2363.7760000000003</v>
      </c>
    </row>
    <row r="140" spans="1:10" ht="13.5" thickBot="1">
      <c r="A140" s="271"/>
      <c r="B140" s="132"/>
      <c r="C140" s="130"/>
      <c r="D140" s="130"/>
      <c r="E140" s="134"/>
      <c r="F140" s="133"/>
      <c r="G140" s="120"/>
      <c r="H140" s="134"/>
      <c r="I140" s="179" t="s">
        <v>23</v>
      </c>
      <c r="J140" s="88">
        <v>1800</v>
      </c>
    </row>
    <row r="141" spans="1:10" ht="13.5" thickBot="1">
      <c r="A141" s="270" t="s">
        <v>12</v>
      </c>
      <c r="B141" s="57">
        <f>18.71*1846.7015</f>
        <v>34551.785065</v>
      </c>
      <c r="C141" s="33">
        <f>E141-B141</f>
        <v>-1259.6150649999981</v>
      </c>
      <c r="D141" s="32"/>
      <c r="E141" s="33">
        <v>33292.17</v>
      </c>
      <c r="F141" s="55">
        <f>B141*1</f>
        <v>34551.785065</v>
      </c>
      <c r="G141" s="30">
        <f>(1.815+3.24+0.23+3.81)*1846.7</f>
        <v>16795.736500000003</v>
      </c>
      <c r="H141" s="33">
        <f>F141-G141+C141</f>
        <v>16496.433499999996</v>
      </c>
      <c r="I141" s="175" t="s">
        <v>32</v>
      </c>
      <c r="J141" s="176">
        <f>2.78*1846.7+0.99*1846.7</f>
        <v>6962.059</v>
      </c>
    </row>
    <row r="142" spans="1:10" ht="12.75">
      <c r="A142" s="271"/>
      <c r="B142" s="157"/>
      <c r="C142" s="59"/>
      <c r="D142" s="59"/>
      <c r="E142" s="60"/>
      <c r="F142" s="61"/>
      <c r="G142" s="161"/>
      <c r="H142" s="159"/>
      <c r="I142" s="18" t="s">
        <v>85</v>
      </c>
      <c r="J142" s="177">
        <f>1.28*1846.7</f>
        <v>2363.7760000000003</v>
      </c>
    </row>
    <row r="143" spans="1:10" ht="24.75" thickBot="1">
      <c r="A143" s="271"/>
      <c r="B143" s="132"/>
      <c r="C143" s="66"/>
      <c r="D143" s="66"/>
      <c r="E143" s="67"/>
      <c r="F143" s="68"/>
      <c r="G143" s="120"/>
      <c r="H143" s="134"/>
      <c r="I143" s="24" t="s">
        <v>97</v>
      </c>
      <c r="J143" s="102">
        <v>5035</v>
      </c>
    </row>
    <row r="144" spans="1:10" ht="13.5" thickBot="1">
      <c r="A144" s="272" t="s">
        <v>13</v>
      </c>
      <c r="B144" s="57">
        <f>18.71*1846.70115</f>
        <v>34551.7785165</v>
      </c>
      <c r="C144" s="33">
        <f>E144-B144</f>
        <v>2222.901483499998</v>
      </c>
      <c r="D144" s="32"/>
      <c r="E144" s="33">
        <v>36774.68</v>
      </c>
      <c r="F144" s="55">
        <f>B144*1</f>
        <v>34551.7785165</v>
      </c>
      <c r="G144" s="30">
        <f>(1.815+3.24+0.23+3.81)*1846.7</f>
        <v>16795.736500000003</v>
      </c>
      <c r="H144" s="33">
        <f>F144-G144+C144</f>
        <v>19978.943499999998</v>
      </c>
      <c r="I144" s="178" t="s">
        <v>32</v>
      </c>
      <c r="J144" s="176">
        <f>2.78*1846.7+0.99*1846.7</f>
        <v>6962.059</v>
      </c>
    </row>
    <row r="145" spans="1:10" ht="12.75">
      <c r="A145" s="273"/>
      <c r="B145" s="157"/>
      <c r="C145" s="158"/>
      <c r="D145" s="158"/>
      <c r="E145" s="159"/>
      <c r="F145" s="160"/>
      <c r="G145" s="161"/>
      <c r="H145" s="159"/>
      <c r="I145" s="18" t="s">
        <v>85</v>
      </c>
      <c r="J145" s="177">
        <f>1.28*1846.7</f>
        <v>2363.7760000000003</v>
      </c>
    </row>
    <row r="146" spans="1:10" ht="24.75" thickBot="1">
      <c r="A146" s="274"/>
      <c r="B146" s="165"/>
      <c r="C146" s="166"/>
      <c r="D146" s="166"/>
      <c r="E146" s="167"/>
      <c r="F146" s="168"/>
      <c r="G146" s="169"/>
      <c r="H146" s="167"/>
      <c r="I146" s="179" t="s">
        <v>98</v>
      </c>
      <c r="J146" s="104">
        <v>44</v>
      </c>
    </row>
    <row r="147" spans="1:10" ht="21" customHeight="1" thickBot="1">
      <c r="A147" s="272" t="s">
        <v>14</v>
      </c>
      <c r="B147" s="193">
        <f>17.31*1846.70124</f>
        <v>31966.3984644</v>
      </c>
      <c r="C147" s="194">
        <f>E147-B147</f>
        <v>1527.7815355999992</v>
      </c>
      <c r="D147" s="195"/>
      <c r="E147" s="194">
        <v>33494.18</v>
      </c>
      <c r="F147" s="196">
        <f>B147*1</f>
        <v>31966.3984644</v>
      </c>
      <c r="G147" s="197">
        <f>(1.815+3.24+0.23+3.81)*1846.7</f>
        <v>16795.736500000003</v>
      </c>
      <c r="H147" s="198">
        <f>F147-G147+C147</f>
        <v>16698.443499999998</v>
      </c>
      <c r="I147" s="178" t="s">
        <v>32</v>
      </c>
      <c r="J147" s="176">
        <f>2.78*1846.7+0.99*1846.7</f>
        <v>6962.059</v>
      </c>
    </row>
    <row r="148" spans="1:10" ht="12.75">
      <c r="A148" s="271"/>
      <c r="B148" s="157"/>
      <c r="C148" s="158"/>
      <c r="D148" s="158"/>
      <c r="E148" s="159"/>
      <c r="F148" s="158"/>
      <c r="G148" s="161"/>
      <c r="H148" s="158"/>
      <c r="I148" s="16" t="s">
        <v>99</v>
      </c>
      <c r="J148" s="80">
        <v>199</v>
      </c>
    </row>
    <row r="149" spans="1:10" ht="12.75">
      <c r="A149" s="271"/>
      <c r="B149" s="132"/>
      <c r="C149" s="130"/>
      <c r="D149" s="130"/>
      <c r="E149" s="134"/>
      <c r="F149" s="130"/>
      <c r="G149" s="120"/>
      <c r="H149" s="130"/>
      <c r="I149" s="180" t="s">
        <v>29</v>
      </c>
      <c r="J149" s="102">
        <v>4105</v>
      </c>
    </row>
    <row r="150" spans="1:10" ht="24">
      <c r="A150" s="271"/>
      <c r="B150" s="132"/>
      <c r="C150" s="130"/>
      <c r="D150" s="130"/>
      <c r="E150" s="134"/>
      <c r="F150" s="130"/>
      <c r="G150" s="120"/>
      <c r="H150" s="130"/>
      <c r="I150" s="16" t="s">
        <v>76</v>
      </c>
      <c r="J150" s="102">
        <v>1344</v>
      </c>
    </row>
    <row r="151" spans="1:10" ht="12.75">
      <c r="A151" s="271"/>
      <c r="B151" s="132"/>
      <c r="C151" s="130"/>
      <c r="D151" s="130"/>
      <c r="E151" s="134"/>
      <c r="F151" s="130"/>
      <c r="G151" s="120"/>
      <c r="H151" s="130"/>
      <c r="I151" s="16" t="s">
        <v>100</v>
      </c>
      <c r="J151" s="87">
        <v>291</v>
      </c>
    </row>
    <row r="152" spans="1:10" ht="12.75">
      <c r="A152" s="271"/>
      <c r="B152" s="162"/>
      <c r="C152" s="131"/>
      <c r="D152" s="131"/>
      <c r="E152" s="163"/>
      <c r="F152" s="131"/>
      <c r="G152" s="131"/>
      <c r="H152" s="131"/>
      <c r="I152" s="16" t="s">
        <v>101</v>
      </c>
      <c r="J152" s="93">
        <v>353</v>
      </c>
    </row>
    <row r="153" spans="1:10" ht="12.75">
      <c r="A153" s="271"/>
      <c r="B153" s="162"/>
      <c r="C153" s="131"/>
      <c r="D153" s="131"/>
      <c r="E153" s="163"/>
      <c r="F153" s="131"/>
      <c r="G153" s="131"/>
      <c r="H153" s="131"/>
      <c r="I153" s="18" t="s">
        <v>52</v>
      </c>
      <c r="J153" s="102">
        <v>510</v>
      </c>
    </row>
    <row r="154" spans="1:10" ht="12.75">
      <c r="A154" s="271"/>
      <c r="B154" s="162"/>
      <c r="C154" s="131"/>
      <c r="D154" s="131"/>
      <c r="E154" s="163"/>
      <c r="F154" s="131"/>
      <c r="G154" s="131"/>
      <c r="H154" s="131"/>
      <c r="I154" s="16" t="s">
        <v>102</v>
      </c>
      <c r="J154" s="135">
        <v>700</v>
      </c>
    </row>
    <row r="155" spans="1:11" ht="12.75">
      <c r="A155" s="271"/>
      <c r="B155" s="162"/>
      <c r="C155" s="131"/>
      <c r="D155" s="131"/>
      <c r="E155" s="163"/>
      <c r="F155" s="131"/>
      <c r="G155" s="131"/>
      <c r="H155" s="131"/>
      <c r="I155" s="16" t="s">
        <v>33</v>
      </c>
      <c r="J155" s="135">
        <v>3500.8</v>
      </c>
      <c r="K155" s="190"/>
    </row>
    <row r="156" spans="1:11" ht="12.75">
      <c r="A156" s="271"/>
      <c r="B156" s="162"/>
      <c r="C156" s="131"/>
      <c r="D156" s="131"/>
      <c r="E156" s="163"/>
      <c r="F156" s="131"/>
      <c r="G156" s="131"/>
      <c r="H156" s="131"/>
      <c r="I156" s="16" t="s">
        <v>116</v>
      </c>
      <c r="J156" s="135">
        <v>3000</v>
      </c>
      <c r="K156" s="190"/>
    </row>
    <row r="157" spans="1:11" ht="13.5" thickBot="1">
      <c r="A157" s="278"/>
      <c r="B157" s="113"/>
      <c r="C157" s="114"/>
      <c r="D157" s="114"/>
      <c r="E157" s="115"/>
      <c r="F157" s="131"/>
      <c r="G157" s="131"/>
      <c r="H157" s="131"/>
      <c r="I157" s="188" t="s">
        <v>117</v>
      </c>
      <c r="J157" s="149">
        <v>125132.61</v>
      </c>
      <c r="K157" s="190"/>
    </row>
    <row r="158" spans="1:10" ht="13.5" thickBot="1">
      <c r="A158" s="272" t="s">
        <v>15</v>
      </c>
      <c r="B158" s="57">
        <f>17.31*1846.70124</f>
        <v>31966.3984644</v>
      </c>
      <c r="C158" s="33">
        <f>E158-B158</f>
        <v>1131.0915355999969</v>
      </c>
      <c r="D158" s="32"/>
      <c r="E158" s="117">
        <v>33097.49</v>
      </c>
      <c r="F158" s="84">
        <f>B158*1</f>
        <v>31966.3984644</v>
      </c>
      <c r="G158" s="30">
        <f>(1.815+3.24+0.23+3.81)*1846.7</f>
        <v>16795.736500000003</v>
      </c>
      <c r="H158" s="83">
        <f>F158-G158+C158</f>
        <v>16301.753499999995</v>
      </c>
      <c r="I158" s="175" t="s">
        <v>32</v>
      </c>
      <c r="J158" s="176">
        <f>2.78*1846.7+0.99*1846.7</f>
        <v>6962.059</v>
      </c>
    </row>
    <row r="159" spans="1:10" ht="24">
      <c r="A159" s="271"/>
      <c r="B159" s="157"/>
      <c r="C159" s="158"/>
      <c r="D159" s="158"/>
      <c r="E159" s="159"/>
      <c r="F159" s="160"/>
      <c r="G159" s="161"/>
      <c r="H159" s="159"/>
      <c r="I159" s="186" t="s">
        <v>111</v>
      </c>
      <c r="J159" s="88">
        <v>888</v>
      </c>
    </row>
    <row r="160" spans="1:10" ht="12.75">
      <c r="A160" s="271"/>
      <c r="B160" s="132"/>
      <c r="C160" s="130"/>
      <c r="D160" s="130"/>
      <c r="E160" s="134"/>
      <c r="F160" s="133"/>
      <c r="G160" s="120"/>
      <c r="H160" s="134"/>
      <c r="I160" s="181" t="s">
        <v>103</v>
      </c>
      <c r="J160" s="88">
        <v>4500</v>
      </c>
    </row>
    <row r="161" spans="1:10" ht="12.75">
      <c r="A161" s="271"/>
      <c r="B161" s="132"/>
      <c r="C161" s="130"/>
      <c r="D161" s="130"/>
      <c r="E161" s="134"/>
      <c r="F161" s="133"/>
      <c r="G161" s="120"/>
      <c r="H161" s="134"/>
      <c r="I161" s="79" t="s">
        <v>104</v>
      </c>
      <c r="J161" s="93">
        <v>1983</v>
      </c>
    </row>
    <row r="162" spans="1:10" ht="12.75">
      <c r="A162" s="271"/>
      <c r="B162" s="132"/>
      <c r="C162" s="130"/>
      <c r="D162" s="130"/>
      <c r="E162" s="134"/>
      <c r="F162" s="133"/>
      <c r="G162" s="120"/>
      <c r="H162" s="134"/>
      <c r="I162" s="122" t="s">
        <v>105</v>
      </c>
      <c r="J162" s="102">
        <v>2500</v>
      </c>
    </row>
    <row r="163" spans="1:10" ht="12.75">
      <c r="A163" s="271"/>
      <c r="B163" s="132"/>
      <c r="C163" s="130"/>
      <c r="D163" s="130"/>
      <c r="E163" s="134"/>
      <c r="F163" s="133"/>
      <c r="G163" s="120"/>
      <c r="H163" s="134"/>
      <c r="I163" s="79" t="s">
        <v>112</v>
      </c>
      <c r="J163" s="102">
        <v>16811</v>
      </c>
    </row>
    <row r="164" spans="1:10" ht="13.5" thickBot="1">
      <c r="A164" s="271"/>
      <c r="B164" s="132"/>
      <c r="C164" s="130"/>
      <c r="D164" s="130"/>
      <c r="E164" s="134"/>
      <c r="F164" s="133"/>
      <c r="G164" s="120"/>
      <c r="H164" s="134"/>
      <c r="I164" s="79" t="s">
        <v>113</v>
      </c>
      <c r="J164" s="88">
        <v>4647</v>
      </c>
    </row>
    <row r="165" spans="1:10" ht="13.5" thickBot="1">
      <c r="A165" s="270" t="s">
        <v>16</v>
      </c>
      <c r="B165" s="57">
        <f>17.31*1846.70123</f>
        <v>31966.398291299996</v>
      </c>
      <c r="C165" s="33">
        <f>E165-B165</f>
        <v>-469.3082912999962</v>
      </c>
      <c r="D165" s="32"/>
      <c r="E165" s="118">
        <v>31497.09</v>
      </c>
      <c r="F165" s="55">
        <f>B165*1</f>
        <v>31966.398291299996</v>
      </c>
      <c r="G165" s="30">
        <f>(1.815+3.24+0.23+3.81)*1846.7</f>
        <v>16795.736500000003</v>
      </c>
      <c r="H165" s="33">
        <f>F165-G165+C165</f>
        <v>14701.353499999997</v>
      </c>
      <c r="I165" s="178" t="s">
        <v>32</v>
      </c>
      <c r="J165" s="176">
        <f>2.78*1846.7+0.99*1846.7</f>
        <v>6962.059</v>
      </c>
    </row>
    <row r="166" spans="1:10" ht="24">
      <c r="A166" s="271"/>
      <c r="B166" s="157"/>
      <c r="C166" s="158"/>
      <c r="D166" s="158"/>
      <c r="E166" s="159"/>
      <c r="F166" s="160"/>
      <c r="G166" s="161"/>
      <c r="H166" s="159"/>
      <c r="I166" s="175" t="s">
        <v>106</v>
      </c>
      <c r="J166" s="102">
        <v>30059</v>
      </c>
    </row>
    <row r="167" spans="1:10" ht="13.5" thickBot="1">
      <c r="A167" s="271"/>
      <c r="B167" s="132"/>
      <c r="C167" s="130"/>
      <c r="D167" s="130"/>
      <c r="E167" s="134"/>
      <c r="F167" s="133"/>
      <c r="G167" s="120"/>
      <c r="H167" s="134"/>
      <c r="I167" s="179" t="s">
        <v>107</v>
      </c>
      <c r="J167" s="88">
        <v>6481</v>
      </c>
    </row>
    <row r="168" spans="1:10" ht="13.5" thickBot="1">
      <c r="A168" s="270" t="s">
        <v>17</v>
      </c>
      <c r="B168" s="172">
        <f>17.31*1846.70123</f>
        <v>31966.398291299996</v>
      </c>
      <c r="C168" s="33">
        <f>E168-B168</f>
        <v>5486.841708700002</v>
      </c>
      <c r="D168" s="173"/>
      <c r="E168" s="171">
        <v>37453.24</v>
      </c>
      <c r="F168" s="55">
        <f>B168*1</f>
        <v>31966.398291299996</v>
      </c>
      <c r="G168" s="30">
        <f>(1.815+3.24+0.23+3.81)*1846.7</f>
        <v>16795.736500000003</v>
      </c>
      <c r="H168" s="33">
        <f>F168-G168+C168</f>
        <v>20657.503499999995</v>
      </c>
      <c r="I168" s="175" t="s">
        <v>32</v>
      </c>
      <c r="J168" s="176">
        <f>2.78*1846.7+0.99*1846.7</f>
        <v>6962.059</v>
      </c>
    </row>
    <row r="169" spans="1:10" ht="24">
      <c r="A169" s="271"/>
      <c r="B169" s="157"/>
      <c r="C169" s="158"/>
      <c r="D169" s="158"/>
      <c r="E169" s="159"/>
      <c r="F169" s="160"/>
      <c r="G169" s="161"/>
      <c r="H169" s="159"/>
      <c r="I169" s="180" t="s">
        <v>108</v>
      </c>
      <c r="J169" s="88">
        <v>1082</v>
      </c>
    </row>
    <row r="170" spans="1:10" ht="13.5" thickBot="1">
      <c r="A170" s="271"/>
      <c r="B170" s="164"/>
      <c r="C170" s="130"/>
      <c r="D170" s="130"/>
      <c r="E170" s="134"/>
      <c r="F170" s="133"/>
      <c r="G170" s="120"/>
      <c r="H170" s="134"/>
      <c r="I170" s="77" t="s">
        <v>114</v>
      </c>
      <c r="J170" s="88">
        <v>1000</v>
      </c>
    </row>
    <row r="171" spans="1:10" ht="13.5" thickBot="1">
      <c r="A171" s="272" t="s">
        <v>18</v>
      </c>
      <c r="B171" s="57">
        <f>17.31*1846.70123</f>
        <v>31966.398291299996</v>
      </c>
      <c r="C171" s="33">
        <f>E171-B171</f>
        <v>2494.0917087000016</v>
      </c>
      <c r="D171" s="156"/>
      <c r="E171" s="171">
        <v>34460.49</v>
      </c>
      <c r="F171" s="55">
        <f>B171*1</f>
        <v>31966.398291299996</v>
      </c>
      <c r="G171" s="30">
        <f>(1.815+3.24+0.23+3.81)*1846.7</f>
        <v>16795.736500000003</v>
      </c>
      <c r="H171" s="33">
        <f>F171-G171+C171</f>
        <v>17664.753499999995</v>
      </c>
      <c r="I171" s="178" t="s">
        <v>32</v>
      </c>
      <c r="J171" s="176">
        <f>2.78*1846.7+0.99*1846.7</f>
        <v>6962.059</v>
      </c>
    </row>
    <row r="172" spans="1:10" ht="24.75" thickBot="1">
      <c r="A172" s="273"/>
      <c r="B172" s="157"/>
      <c r="C172" s="158"/>
      <c r="D172" s="158"/>
      <c r="E172" s="159"/>
      <c r="F172" s="160"/>
      <c r="G172" s="161"/>
      <c r="H172" s="159"/>
      <c r="I172" s="187" t="s">
        <v>109</v>
      </c>
      <c r="J172" s="88">
        <v>127</v>
      </c>
    </row>
    <row r="173" spans="1:10" ht="13.5" thickBot="1">
      <c r="A173" s="272" t="s">
        <v>19</v>
      </c>
      <c r="B173" s="57">
        <f>17.31*1846.70123</f>
        <v>31966.398291299996</v>
      </c>
      <c r="C173" s="33">
        <f>E173-B173</f>
        <v>2275.241708700003</v>
      </c>
      <c r="D173" s="170"/>
      <c r="E173" s="171">
        <v>34241.64</v>
      </c>
      <c r="F173" s="55">
        <f>B173*1</f>
        <v>31966.398291299996</v>
      </c>
      <c r="G173" s="30">
        <f>(1.815+3.24+0.23+3.81)*1846.7</f>
        <v>16795.736500000003</v>
      </c>
      <c r="H173" s="33">
        <f>F173-G173+C173</f>
        <v>17445.903499999997</v>
      </c>
      <c r="I173" s="178" t="s">
        <v>32</v>
      </c>
      <c r="J173" s="176">
        <f>2.78*1846.7+0.99*1846.7</f>
        <v>6962.059</v>
      </c>
    </row>
    <row r="174" spans="1:10" ht="12.75">
      <c r="A174" s="273"/>
      <c r="B174" s="132"/>
      <c r="C174" s="130"/>
      <c r="D174" s="131"/>
      <c r="E174" s="134"/>
      <c r="F174" s="133"/>
      <c r="G174" s="120"/>
      <c r="H174" s="134"/>
      <c r="I174" s="16" t="s">
        <v>110</v>
      </c>
      <c r="J174" s="88">
        <v>13</v>
      </c>
    </row>
    <row r="175" spans="1:10" ht="12.75">
      <c r="A175" s="273"/>
      <c r="B175" s="132"/>
      <c r="C175" s="130"/>
      <c r="D175" s="131"/>
      <c r="E175" s="134"/>
      <c r="F175" s="133"/>
      <c r="G175" s="120"/>
      <c r="H175" s="134"/>
      <c r="I175" s="180" t="s">
        <v>115</v>
      </c>
      <c r="J175" s="102">
        <v>3505</v>
      </c>
    </row>
    <row r="176" spans="1:10" ht="24.75" thickBot="1">
      <c r="A176" s="274"/>
      <c r="B176" s="113"/>
      <c r="C176" s="114"/>
      <c r="D176" s="114"/>
      <c r="E176" s="115"/>
      <c r="F176" s="113"/>
      <c r="G176" s="114"/>
      <c r="H176" s="115"/>
      <c r="I176" s="22" t="s">
        <v>75</v>
      </c>
      <c r="J176" s="90">
        <v>2125</v>
      </c>
    </row>
    <row r="177" spans="1:10" ht="13.5" thickBot="1">
      <c r="A177" s="19" t="s">
        <v>20</v>
      </c>
      <c r="B177" s="31">
        <f>SUM(B121:B173)</f>
        <v>399109.0752255</v>
      </c>
      <c r="C177" s="35">
        <f>SUM(C121:C173)</f>
        <v>10464.664774499994</v>
      </c>
      <c r="D177" s="35"/>
      <c r="E177" s="36">
        <f>SUM(E121:E176)</f>
        <v>409573.74</v>
      </c>
      <c r="F177" s="37">
        <f>SUM(F121:F173)</f>
        <v>399109.0752255</v>
      </c>
      <c r="G177" s="37">
        <f>SUM(G121:G173)</f>
        <v>201548.83800000002</v>
      </c>
      <c r="H177" s="38">
        <f>SUM(H121:H173)</f>
        <v>208024.90199999994</v>
      </c>
      <c r="I177" s="20"/>
      <c r="J177" s="21"/>
    </row>
    <row r="178" spans="1:10" ht="13.5" thickBot="1">
      <c r="A178" s="6"/>
      <c r="B178" s="51"/>
      <c r="C178" s="52"/>
      <c r="D178" s="52"/>
      <c r="E178" s="53"/>
      <c r="F178" s="54"/>
      <c r="G178" s="54"/>
      <c r="H178" s="54"/>
      <c r="I178" s="12" t="s">
        <v>21</v>
      </c>
      <c r="J178" s="25">
        <f>SUM(J121:J176)</f>
        <v>441606.5040000001</v>
      </c>
    </row>
    <row r="179" spans="1:10" ht="13.5" thickBot="1">
      <c r="A179" s="4"/>
      <c r="B179" s="1"/>
      <c r="C179" s="2"/>
      <c r="D179" s="2"/>
      <c r="E179" s="3"/>
      <c r="F179" s="297"/>
      <c r="G179" s="298"/>
      <c r="H179" s="298"/>
      <c r="I179" s="299"/>
      <c r="J179" s="26"/>
    </row>
    <row r="180" spans="9:10" ht="13.5" thickBot="1">
      <c r="I180" s="8" t="s">
        <v>84</v>
      </c>
      <c r="J180" s="27">
        <f>H177+J120-J178</f>
        <v>-439700.8044000002</v>
      </c>
    </row>
    <row r="186" spans="1:10" ht="21" customHeight="1">
      <c r="A186" s="284" t="s">
        <v>119</v>
      </c>
      <c r="B186" s="284"/>
      <c r="C186" s="284"/>
      <c r="D186" s="284"/>
      <c r="E186" s="284"/>
      <c r="F186" s="284"/>
      <c r="G186" s="284"/>
      <c r="H186" s="284"/>
      <c r="I186" s="284"/>
      <c r="J186" s="284"/>
    </row>
    <row r="187" spans="1:10" ht="25.5" customHeight="1" thickBot="1">
      <c r="A187" s="285" t="s">
        <v>25</v>
      </c>
      <c r="B187" s="285"/>
      <c r="C187" s="285"/>
      <c r="D187" s="285"/>
      <c r="E187" s="285"/>
      <c r="F187" s="285"/>
      <c r="G187" s="285"/>
      <c r="H187" s="285"/>
      <c r="I187" s="285"/>
      <c r="J187" s="285"/>
    </row>
    <row r="188" spans="1:10" ht="13.5" thickBot="1">
      <c r="A188" s="286"/>
      <c r="B188" s="289" t="s">
        <v>22</v>
      </c>
      <c r="C188" s="290"/>
      <c r="D188" s="290"/>
      <c r="E188" s="291"/>
      <c r="F188" s="289" t="s">
        <v>26</v>
      </c>
      <c r="G188" s="290"/>
      <c r="H188" s="290"/>
      <c r="I188" s="290"/>
      <c r="J188" s="291"/>
    </row>
    <row r="189" spans="1:10" ht="13.5" thickBot="1">
      <c r="A189" s="287"/>
      <c r="B189" s="272" t="s">
        <v>0</v>
      </c>
      <c r="C189" s="292" t="s">
        <v>34</v>
      </c>
      <c r="D189" s="272" t="s">
        <v>27</v>
      </c>
      <c r="E189" s="272" t="s">
        <v>1</v>
      </c>
      <c r="F189" s="272" t="s">
        <v>2</v>
      </c>
      <c r="G189" s="272" t="s">
        <v>3</v>
      </c>
      <c r="H189" s="272" t="s">
        <v>4</v>
      </c>
      <c r="I189" s="279" t="s">
        <v>5</v>
      </c>
      <c r="J189" s="280"/>
    </row>
    <row r="190" spans="1:10" ht="36.75" customHeight="1" thickBot="1">
      <c r="A190" s="288"/>
      <c r="B190" s="274"/>
      <c r="C190" s="293"/>
      <c r="D190" s="274"/>
      <c r="E190" s="274"/>
      <c r="F190" s="273"/>
      <c r="G190" s="273"/>
      <c r="H190" s="273"/>
      <c r="I190" s="191" t="s">
        <v>6</v>
      </c>
      <c r="J190" s="192" t="s">
        <v>7</v>
      </c>
    </row>
    <row r="191" spans="1:10" ht="15.75" thickBot="1">
      <c r="A191" s="212" t="s">
        <v>120</v>
      </c>
      <c r="B191" s="281"/>
      <c r="C191" s="282"/>
      <c r="D191" s="282"/>
      <c r="E191" s="283"/>
      <c r="F191" s="213"/>
      <c r="G191" s="214"/>
      <c r="H191" s="215"/>
      <c r="I191" s="216" t="s">
        <v>121</v>
      </c>
      <c r="J191" s="217">
        <f>J180</f>
        <v>-439700.8044000002</v>
      </c>
    </row>
    <row r="192" spans="1:10" ht="13.5" thickBot="1">
      <c r="A192" s="270" t="s">
        <v>8</v>
      </c>
      <c r="B192" s="57">
        <f>17.31*1846.7013</f>
        <v>31966.399502999997</v>
      </c>
      <c r="C192" s="33">
        <f>E192-B192</f>
        <v>-3260.739502999997</v>
      </c>
      <c r="D192" s="199"/>
      <c r="E192" s="33">
        <v>28705.66</v>
      </c>
      <c r="F192" s="55">
        <f>B192*1</f>
        <v>31966.399502999997</v>
      </c>
      <c r="G192" s="30">
        <f>(1.815+4.72+0.23+4.63)*1846.7</f>
        <v>21043.1465</v>
      </c>
      <c r="H192" s="33">
        <f>F192-G192+C192</f>
        <v>7662.513500000001</v>
      </c>
      <c r="I192" s="186" t="s">
        <v>32</v>
      </c>
      <c r="J192" s="176">
        <f>3.77*1846.7</f>
        <v>6962.059</v>
      </c>
    </row>
    <row r="193" spans="1:10" ht="24.75" thickBot="1">
      <c r="A193" s="271"/>
      <c r="B193" s="39"/>
      <c r="C193" s="40"/>
      <c r="D193" s="40"/>
      <c r="E193" s="41"/>
      <c r="F193" s="42"/>
      <c r="G193" s="43"/>
      <c r="H193" s="41"/>
      <c r="I193" s="16" t="s">
        <v>123</v>
      </c>
      <c r="J193" s="239">
        <v>2068.4</v>
      </c>
    </row>
    <row r="194" spans="1:10" ht="13.5" thickBot="1">
      <c r="A194" s="272" t="s">
        <v>9</v>
      </c>
      <c r="B194" s="57">
        <f>17.31*1846.7013</f>
        <v>31966.399502999997</v>
      </c>
      <c r="C194" s="33">
        <f>E194-B194</f>
        <v>2329.5104970000066</v>
      </c>
      <c r="D194" s="32"/>
      <c r="E194" s="33">
        <v>34295.91</v>
      </c>
      <c r="F194" s="34">
        <f>B194*1</f>
        <v>31966.399502999997</v>
      </c>
      <c r="G194" s="30">
        <f>(1.815+4.72+0.23+4.63)*1846.7</f>
        <v>21043.1465</v>
      </c>
      <c r="H194" s="33">
        <f>F194-G194+C194</f>
        <v>13252.763500000005</v>
      </c>
      <c r="I194" s="178" t="s">
        <v>32</v>
      </c>
      <c r="J194" s="176">
        <f>3.77*1846.7</f>
        <v>6962.059</v>
      </c>
    </row>
    <row r="195" spans="1:10" ht="12.75">
      <c r="A195" s="271"/>
      <c r="B195" s="140"/>
      <c r="C195" s="141"/>
      <c r="D195" s="141"/>
      <c r="E195" s="64"/>
      <c r="F195" s="61"/>
      <c r="G195" s="63"/>
      <c r="H195" s="64"/>
      <c r="I195" s="181" t="s">
        <v>124</v>
      </c>
      <c r="J195" s="102">
        <v>12233</v>
      </c>
    </row>
    <row r="196" spans="1:10" ht="24">
      <c r="A196" s="271"/>
      <c r="B196" s="39"/>
      <c r="C196" s="40"/>
      <c r="D196" s="40"/>
      <c r="E196" s="41"/>
      <c r="F196" s="68"/>
      <c r="G196" s="43"/>
      <c r="H196" s="41"/>
      <c r="I196" s="16" t="s">
        <v>125</v>
      </c>
      <c r="J196" s="239">
        <v>1473.4</v>
      </c>
    </row>
    <row r="197" spans="1:10" ht="12.75">
      <c r="A197" s="271"/>
      <c r="B197" s="39"/>
      <c r="C197" s="40"/>
      <c r="D197" s="40"/>
      <c r="E197" s="41"/>
      <c r="F197" s="68"/>
      <c r="G197" s="43"/>
      <c r="H197" s="41"/>
      <c r="I197" s="16" t="s">
        <v>126</v>
      </c>
      <c r="J197" s="102">
        <v>510</v>
      </c>
    </row>
    <row r="198" spans="1:10" ht="14.25" customHeight="1" thickBot="1">
      <c r="A198" s="271"/>
      <c r="B198" s="39"/>
      <c r="C198" s="40"/>
      <c r="D198" s="40"/>
      <c r="E198" s="41"/>
      <c r="F198" s="68"/>
      <c r="G198" s="43"/>
      <c r="H198" s="41"/>
      <c r="I198" s="106" t="s">
        <v>127</v>
      </c>
      <c r="J198" s="102">
        <v>47.3</v>
      </c>
    </row>
    <row r="199" spans="1:10" ht="13.5" thickBot="1">
      <c r="A199" s="270" t="s">
        <v>10</v>
      </c>
      <c r="B199" s="57">
        <f>17.31*1846.7013</f>
        <v>31966.399502999997</v>
      </c>
      <c r="C199" s="33">
        <f>E199-B199</f>
        <v>-2616.359502999996</v>
      </c>
      <c r="D199" s="32"/>
      <c r="E199" s="33">
        <v>29350.04</v>
      </c>
      <c r="F199" s="56">
        <f>B199*1</f>
        <v>31966.399502999997</v>
      </c>
      <c r="G199" s="30">
        <f>(1.815+4.72+0.23+4.63)*1846.7</f>
        <v>21043.1465</v>
      </c>
      <c r="H199" s="83">
        <f>F199-G199+C199</f>
        <v>8306.893500000002</v>
      </c>
      <c r="I199" s="175" t="s">
        <v>32</v>
      </c>
      <c r="J199" s="176">
        <f>3.77*1846.7</f>
        <v>6962.059</v>
      </c>
    </row>
    <row r="200" spans="1:10" ht="24.75" thickBot="1">
      <c r="A200" s="271"/>
      <c r="B200" s="140"/>
      <c r="C200" s="141"/>
      <c r="D200" s="141"/>
      <c r="E200" s="64"/>
      <c r="F200" s="142"/>
      <c r="G200" s="63"/>
      <c r="H200" s="64"/>
      <c r="I200" s="16" t="s">
        <v>128</v>
      </c>
      <c r="J200" s="102">
        <v>4108.4</v>
      </c>
    </row>
    <row r="201" spans="1:10" ht="13.5" thickBot="1">
      <c r="A201" s="270" t="s">
        <v>11</v>
      </c>
      <c r="B201" s="57">
        <f>17.31*1846.7013</f>
        <v>31966.399502999997</v>
      </c>
      <c r="C201" s="33">
        <f>E201-B201</f>
        <v>-2284.9195029999973</v>
      </c>
      <c r="D201" s="32"/>
      <c r="E201" s="33">
        <v>29681.48</v>
      </c>
      <c r="F201" s="55">
        <f>B201*1</f>
        <v>31966.399502999997</v>
      </c>
      <c r="G201" s="30">
        <f>(1.815+4.72+0.23+4.63)*1846.7</f>
        <v>21043.1465</v>
      </c>
      <c r="H201" s="33">
        <f>F201-G201+C201</f>
        <v>8638.3335</v>
      </c>
      <c r="I201" s="178" t="s">
        <v>32</v>
      </c>
      <c r="J201" s="176">
        <f>3.77*1846.7</f>
        <v>6962.059</v>
      </c>
    </row>
    <row r="202" spans="1:10" ht="12.75">
      <c r="A202" s="271"/>
      <c r="B202" s="140"/>
      <c r="C202" s="141"/>
      <c r="D202" s="141"/>
      <c r="E202" s="64"/>
      <c r="F202" s="61"/>
      <c r="G202" s="63"/>
      <c r="H202" s="64"/>
      <c r="I202" s="180" t="s">
        <v>129</v>
      </c>
      <c r="J202" s="102">
        <v>0</v>
      </c>
    </row>
    <row r="203" spans="1:10" ht="12.75">
      <c r="A203" s="271"/>
      <c r="B203" s="39"/>
      <c r="C203" s="40"/>
      <c r="D203" s="40"/>
      <c r="E203" s="41"/>
      <c r="F203" s="68"/>
      <c r="G203" s="43"/>
      <c r="H203" s="41"/>
      <c r="I203" s="24" t="s">
        <v>130</v>
      </c>
      <c r="J203" s="102">
        <v>0</v>
      </c>
    </row>
    <row r="204" spans="1:10" ht="12.75">
      <c r="A204" s="271"/>
      <c r="B204" s="39"/>
      <c r="C204" s="40"/>
      <c r="D204" s="40"/>
      <c r="E204" s="41"/>
      <c r="F204" s="68"/>
      <c r="G204" s="43"/>
      <c r="H204" s="41"/>
      <c r="I204" s="219" t="s">
        <v>131</v>
      </c>
      <c r="J204" s="102">
        <v>325</v>
      </c>
    </row>
    <row r="205" spans="1:10" ht="12.75">
      <c r="A205" s="271"/>
      <c r="B205" s="39"/>
      <c r="C205" s="40"/>
      <c r="D205" s="40"/>
      <c r="E205" s="41"/>
      <c r="F205" s="68"/>
      <c r="G205" s="43"/>
      <c r="H205" s="41"/>
      <c r="I205" s="17" t="s">
        <v>132</v>
      </c>
      <c r="J205" s="102">
        <v>150</v>
      </c>
    </row>
    <row r="206" spans="1:10" ht="12.75">
      <c r="A206" s="271"/>
      <c r="B206" s="39"/>
      <c r="C206" s="40"/>
      <c r="D206" s="40"/>
      <c r="E206" s="41"/>
      <c r="F206" s="68"/>
      <c r="G206" s="43"/>
      <c r="H206" s="41"/>
      <c r="I206" s="186" t="s">
        <v>133</v>
      </c>
      <c r="J206" s="102">
        <v>572.5</v>
      </c>
    </row>
    <row r="207" spans="1:10" ht="13.5" thickBot="1">
      <c r="A207" s="271"/>
      <c r="B207" s="39"/>
      <c r="C207" s="40"/>
      <c r="D207" s="40"/>
      <c r="E207" s="41"/>
      <c r="F207" s="68"/>
      <c r="G207" s="43"/>
      <c r="H207" s="41"/>
      <c r="I207" s="179" t="s">
        <v>134</v>
      </c>
      <c r="J207" s="102">
        <v>0</v>
      </c>
    </row>
    <row r="208" spans="1:10" ht="13.5" thickBot="1">
      <c r="A208" s="270" t="s">
        <v>12</v>
      </c>
      <c r="B208" s="57">
        <f>17.31*1846.7013</f>
        <v>31966.399502999997</v>
      </c>
      <c r="C208" s="33">
        <f>E208-B208</f>
        <v>561.6104970000015</v>
      </c>
      <c r="D208" s="32"/>
      <c r="E208" s="33">
        <v>32528.01</v>
      </c>
      <c r="F208" s="55">
        <f>B208*1</f>
        <v>31966.399502999997</v>
      </c>
      <c r="G208" s="30">
        <f>(1.815+4.72+0.23+4.63)*1846.7</f>
        <v>21043.1465</v>
      </c>
      <c r="H208" s="33">
        <f>F208-G208+C208</f>
        <v>11484.8635</v>
      </c>
      <c r="I208" s="175" t="s">
        <v>32</v>
      </c>
      <c r="J208" s="176">
        <f>3.77*1846.7</f>
        <v>6962.059</v>
      </c>
    </row>
    <row r="209" spans="1:10" ht="24">
      <c r="A209" s="271"/>
      <c r="B209" s="140"/>
      <c r="C209" s="141"/>
      <c r="D209" s="141"/>
      <c r="E209" s="64"/>
      <c r="F209" s="61"/>
      <c r="G209" s="63"/>
      <c r="H209" s="64"/>
      <c r="I209" s="180" t="s">
        <v>150</v>
      </c>
      <c r="J209" s="239">
        <v>247.5</v>
      </c>
    </row>
    <row r="210" spans="1:10" ht="24">
      <c r="A210" s="271"/>
      <c r="B210" s="39"/>
      <c r="C210" s="40"/>
      <c r="D210" s="40"/>
      <c r="E210" s="41"/>
      <c r="F210" s="68"/>
      <c r="G210" s="43"/>
      <c r="H210" s="41"/>
      <c r="I210" s="220" t="s">
        <v>135</v>
      </c>
      <c r="J210" s="102">
        <v>390.4</v>
      </c>
    </row>
    <row r="211" spans="1:10" ht="12.75">
      <c r="A211" s="271"/>
      <c r="B211" s="39"/>
      <c r="C211" s="40"/>
      <c r="D211" s="40"/>
      <c r="E211" s="41"/>
      <c r="F211" s="68"/>
      <c r="G211" s="43"/>
      <c r="H211" s="41"/>
      <c r="I211" s="17" t="s">
        <v>132</v>
      </c>
      <c r="J211" s="102">
        <v>150</v>
      </c>
    </row>
    <row r="212" spans="1:10" ht="13.5" thickBot="1">
      <c r="A212" s="271"/>
      <c r="B212" s="39"/>
      <c r="C212" s="40"/>
      <c r="D212" s="40"/>
      <c r="E212" s="41"/>
      <c r="F212" s="68"/>
      <c r="G212" s="43"/>
      <c r="H212" s="41"/>
      <c r="I212" s="186" t="s">
        <v>133</v>
      </c>
      <c r="J212" s="102">
        <v>572.5</v>
      </c>
    </row>
    <row r="213" spans="1:10" ht="13.5" thickBot="1">
      <c r="A213" s="272" t="s">
        <v>13</v>
      </c>
      <c r="B213" s="57">
        <f>17.31*1846.7013</f>
        <v>31966.399502999997</v>
      </c>
      <c r="C213" s="33">
        <f>E213-B213</f>
        <v>2727.390497000004</v>
      </c>
      <c r="D213" s="32"/>
      <c r="E213" s="33">
        <v>34693.79</v>
      </c>
      <c r="F213" s="55">
        <f>B213*1</f>
        <v>31966.399502999997</v>
      </c>
      <c r="G213" s="30">
        <f>(1.815+4.72+0.23+4.63)*1846.7</f>
        <v>21043.1465</v>
      </c>
      <c r="H213" s="33">
        <f>F213-G213+C213</f>
        <v>13650.643500000002</v>
      </c>
      <c r="I213" s="178" t="s">
        <v>32</v>
      </c>
      <c r="J213" s="176">
        <f>3.77*1846.7</f>
        <v>6962.059</v>
      </c>
    </row>
    <row r="214" spans="1:10" ht="12.75">
      <c r="A214" s="273"/>
      <c r="B214" s="140"/>
      <c r="C214" s="141"/>
      <c r="D214" s="141"/>
      <c r="E214" s="64"/>
      <c r="F214" s="61"/>
      <c r="G214" s="63"/>
      <c r="H214" s="64"/>
      <c r="I214" s="186" t="s">
        <v>133</v>
      </c>
      <c r="J214" s="102">
        <v>572.5</v>
      </c>
    </row>
    <row r="215" spans="1:10" ht="12.75">
      <c r="A215" s="273"/>
      <c r="B215" s="39"/>
      <c r="C215" s="40"/>
      <c r="D215" s="40"/>
      <c r="E215" s="41"/>
      <c r="F215" s="68"/>
      <c r="G215" s="43"/>
      <c r="H215" s="41"/>
      <c r="I215" s="24" t="s">
        <v>33</v>
      </c>
      <c r="J215" s="80">
        <v>2879.72</v>
      </c>
    </row>
    <row r="216" spans="1:10" ht="12.75">
      <c r="A216" s="273"/>
      <c r="B216" s="39"/>
      <c r="C216" s="40"/>
      <c r="D216" s="40"/>
      <c r="E216" s="41"/>
      <c r="F216" s="68"/>
      <c r="G216" s="43"/>
      <c r="H216" s="41"/>
      <c r="I216" s="17" t="s">
        <v>132</v>
      </c>
      <c r="J216" s="102">
        <v>150</v>
      </c>
    </row>
    <row r="217" spans="1:10" ht="13.5" thickBot="1">
      <c r="A217" s="274"/>
      <c r="B217" s="200"/>
      <c r="C217" s="201"/>
      <c r="D217" s="201"/>
      <c r="E217" s="99"/>
      <c r="F217" s="97"/>
      <c r="G217" s="98"/>
      <c r="H217" s="99"/>
      <c r="I217" s="221" t="s">
        <v>136</v>
      </c>
      <c r="J217" s="104">
        <v>7500</v>
      </c>
    </row>
    <row r="218" spans="1:10" ht="13.5" thickBot="1">
      <c r="A218" s="272" t="s">
        <v>14</v>
      </c>
      <c r="B218" s="57">
        <f>17.31*1846.7013</f>
        <v>31966.399502999997</v>
      </c>
      <c r="C218" s="194">
        <f>E218-B218</f>
        <v>-2025.2095029999982</v>
      </c>
      <c r="D218" s="195"/>
      <c r="E218" s="194">
        <v>29941.19</v>
      </c>
      <c r="F218" s="196">
        <f>B218*1</f>
        <v>31966.399502999997</v>
      </c>
      <c r="G218" s="30">
        <f>(1.815+4.72+0.23+4.63)*1846.7</f>
        <v>21043.1465</v>
      </c>
      <c r="H218" s="198">
        <f>F218-G218+C218</f>
        <v>8898.0435</v>
      </c>
      <c r="I218" s="178" t="s">
        <v>32</v>
      </c>
      <c r="J218" s="176">
        <f>3.77*1846.7</f>
        <v>6962.059</v>
      </c>
    </row>
    <row r="219" spans="1:10" ht="24">
      <c r="A219" s="271"/>
      <c r="B219" s="140"/>
      <c r="C219" s="141"/>
      <c r="D219" s="141"/>
      <c r="E219" s="64"/>
      <c r="F219" s="141"/>
      <c r="G219" s="63"/>
      <c r="H219" s="141"/>
      <c r="I219" s="16" t="s">
        <v>137</v>
      </c>
      <c r="J219" s="80">
        <v>65</v>
      </c>
    </row>
    <row r="220" spans="1:10" ht="12.75">
      <c r="A220" s="271"/>
      <c r="B220" s="39"/>
      <c r="C220" s="40"/>
      <c r="D220" s="40"/>
      <c r="E220" s="41"/>
      <c r="F220" s="40"/>
      <c r="G220" s="43"/>
      <c r="H220" s="40"/>
      <c r="I220" s="180" t="s">
        <v>29</v>
      </c>
      <c r="J220" s="102">
        <v>4105</v>
      </c>
    </row>
    <row r="221" spans="1:10" ht="13.5" thickBot="1">
      <c r="A221" s="278"/>
      <c r="B221" s="200"/>
      <c r="C221" s="201"/>
      <c r="D221" s="201"/>
      <c r="E221" s="99"/>
      <c r="F221" s="201"/>
      <c r="G221" s="98"/>
      <c r="H221" s="201"/>
      <c r="I221" s="153" t="s">
        <v>132</v>
      </c>
      <c r="J221" s="104">
        <v>150</v>
      </c>
    </row>
    <row r="222" spans="1:10" ht="13.5" thickBot="1">
      <c r="A222" s="272" t="s">
        <v>15</v>
      </c>
      <c r="B222" s="57">
        <f>17.31*1846.7013</f>
        <v>31966.399502999997</v>
      </c>
      <c r="C222" s="33">
        <f>E222-B222</f>
        <v>-234.3995029999969</v>
      </c>
      <c r="D222" s="32"/>
      <c r="E222" s="117">
        <v>31732</v>
      </c>
      <c r="F222" s="55">
        <f>B222*1</f>
        <v>31966.399502999997</v>
      </c>
      <c r="G222" s="30">
        <f>(1.815+4.72+0.23+4.63)*1846.7</f>
        <v>21043.1465</v>
      </c>
      <c r="H222" s="33">
        <f>F222-G222+C222</f>
        <v>10688.853500000001</v>
      </c>
      <c r="I222" s="178" t="s">
        <v>32</v>
      </c>
      <c r="J222" s="176">
        <f>3.77*1846.7</f>
        <v>6962.059</v>
      </c>
    </row>
    <row r="223" spans="1:10" ht="24.75" thickBot="1">
      <c r="A223" s="278"/>
      <c r="B223" s="200"/>
      <c r="C223" s="201"/>
      <c r="D223" s="201"/>
      <c r="E223" s="99"/>
      <c r="F223" s="97"/>
      <c r="G223" s="98"/>
      <c r="H223" s="99"/>
      <c r="I223" s="238" t="s">
        <v>139</v>
      </c>
      <c r="J223" s="104">
        <v>302</v>
      </c>
    </row>
    <row r="224" spans="1:10" ht="13.5" thickBot="1">
      <c r="A224" s="270" t="s">
        <v>16</v>
      </c>
      <c r="B224" s="57">
        <f>17.31*1846.70131</f>
        <v>31966.399676099998</v>
      </c>
      <c r="C224" s="33">
        <f>E224-B224</f>
        <v>-2956.9796761</v>
      </c>
      <c r="D224" s="32"/>
      <c r="E224" s="118">
        <v>29009.42</v>
      </c>
      <c r="F224" s="55">
        <f>B224*1</f>
        <v>31966.399676099998</v>
      </c>
      <c r="G224" s="30">
        <f>(1.815+4.72+0.23+4.63)*1846.7</f>
        <v>21043.1465</v>
      </c>
      <c r="H224" s="33">
        <f>F224-G224+C224</f>
        <v>7966.273499999999</v>
      </c>
      <c r="I224" s="178" t="s">
        <v>32</v>
      </c>
      <c r="J224" s="176">
        <f>3.77*1846.7</f>
        <v>6962.059</v>
      </c>
    </row>
    <row r="225" spans="1:10" ht="24">
      <c r="A225" s="271"/>
      <c r="B225" s="140"/>
      <c r="C225" s="141"/>
      <c r="D225" s="141"/>
      <c r="E225" s="64"/>
      <c r="F225" s="142"/>
      <c r="G225" s="63"/>
      <c r="H225" s="64"/>
      <c r="I225" s="180" t="s">
        <v>138</v>
      </c>
      <c r="J225" s="102">
        <v>248</v>
      </c>
    </row>
    <row r="226" spans="1:10" ht="13.5" thickBot="1">
      <c r="A226" s="271"/>
      <c r="B226" s="39"/>
      <c r="C226" s="40"/>
      <c r="D226" s="40"/>
      <c r="E226" s="41"/>
      <c r="F226" s="42"/>
      <c r="G226" s="43"/>
      <c r="H226" s="41"/>
      <c r="I226" s="222" t="s">
        <v>33</v>
      </c>
      <c r="J226" s="102">
        <v>2898.15</v>
      </c>
    </row>
    <row r="227" spans="1:10" ht="13.5" thickBot="1">
      <c r="A227" s="270" t="s">
        <v>17</v>
      </c>
      <c r="B227" s="57">
        <f>17.31*1846.70131</f>
        <v>31966.399676099998</v>
      </c>
      <c r="C227" s="33">
        <f>E227-B227</f>
        <v>-1918.1996760999973</v>
      </c>
      <c r="D227" s="218"/>
      <c r="E227" s="117">
        <v>30048.2</v>
      </c>
      <c r="F227" s="55">
        <f>B227*1</f>
        <v>31966.399676099998</v>
      </c>
      <c r="G227" s="30">
        <f>(1.815+4.72+0.23+4.63)*1846.7</f>
        <v>21043.1465</v>
      </c>
      <c r="H227" s="33">
        <f>F227-G227+C227</f>
        <v>9005.053500000002</v>
      </c>
      <c r="I227" s="175" t="s">
        <v>32</v>
      </c>
      <c r="J227" s="176">
        <f>3.77*1846.7</f>
        <v>6962.059</v>
      </c>
    </row>
    <row r="228" spans="1:10" ht="12.75">
      <c r="A228" s="271"/>
      <c r="B228" s="140"/>
      <c r="C228" s="141"/>
      <c r="D228" s="141"/>
      <c r="E228" s="64"/>
      <c r="F228" s="142"/>
      <c r="G228" s="63"/>
      <c r="H228" s="64"/>
      <c r="I228" s="180" t="s">
        <v>140</v>
      </c>
      <c r="J228" s="102">
        <v>1615</v>
      </c>
    </row>
    <row r="229" spans="1:10" ht="12.75">
      <c r="A229" s="271"/>
      <c r="B229" s="39"/>
      <c r="C229" s="40"/>
      <c r="D229" s="40"/>
      <c r="E229" s="41"/>
      <c r="F229" s="42"/>
      <c r="G229" s="43"/>
      <c r="H229" s="41"/>
      <c r="I229" s="77" t="s">
        <v>141</v>
      </c>
      <c r="J229" s="102">
        <v>0</v>
      </c>
    </row>
    <row r="230" spans="1:10" ht="24.75" thickBot="1">
      <c r="A230" s="271"/>
      <c r="B230" s="202"/>
      <c r="C230" s="40"/>
      <c r="D230" s="40"/>
      <c r="E230" s="41"/>
      <c r="F230" s="42"/>
      <c r="G230" s="43"/>
      <c r="H230" s="41"/>
      <c r="I230" s="187" t="s">
        <v>142</v>
      </c>
      <c r="J230" s="102">
        <v>532.5</v>
      </c>
    </row>
    <row r="231" spans="1:10" ht="13.5" thickBot="1">
      <c r="A231" s="272" t="s">
        <v>18</v>
      </c>
      <c r="B231" s="81">
        <f>17.31*1846.70131</f>
        <v>31966.399676099998</v>
      </c>
      <c r="C231" s="83">
        <f>E231-B231</f>
        <v>3735.9303239000037</v>
      </c>
      <c r="D231" s="82"/>
      <c r="E231" s="225">
        <v>35702.33</v>
      </c>
      <c r="F231" s="56">
        <f>B231*1</f>
        <v>31966.399676099998</v>
      </c>
      <c r="G231" s="226">
        <f>(1.815+4.72+0.23+4.63)*1846.7</f>
        <v>21043.1465</v>
      </c>
      <c r="H231" s="83">
        <f>F231-G231+C231</f>
        <v>14659.183500000003</v>
      </c>
      <c r="I231" s="178" t="s">
        <v>32</v>
      </c>
      <c r="J231" s="176">
        <f>3.77*1846.7</f>
        <v>6962.059</v>
      </c>
    </row>
    <row r="232" spans="1:10" ht="24">
      <c r="A232" s="271"/>
      <c r="B232" s="58"/>
      <c r="C232" s="59"/>
      <c r="D232" s="59"/>
      <c r="E232" s="223"/>
      <c r="F232" s="61"/>
      <c r="G232" s="62"/>
      <c r="H232" s="60"/>
      <c r="I232" s="224" t="s">
        <v>143</v>
      </c>
      <c r="J232" s="240">
        <v>214</v>
      </c>
    </row>
    <row r="233" spans="1:10" ht="12.75">
      <c r="A233" s="271"/>
      <c r="B233" s="65"/>
      <c r="C233" s="66"/>
      <c r="D233" s="66"/>
      <c r="E233" s="228"/>
      <c r="F233" s="68"/>
      <c r="G233" s="100"/>
      <c r="H233" s="67"/>
      <c r="I233" s="186" t="s">
        <v>144</v>
      </c>
      <c r="J233" s="240">
        <v>338</v>
      </c>
    </row>
    <row r="234" spans="1:10" ht="24">
      <c r="A234" s="271"/>
      <c r="B234" s="65"/>
      <c r="C234" s="66"/>
      <c r="D234" s="66"/>
      <c r="E234" s="228"/>
      <c r="F234" s="68"/>
      <c r="G234" s="100"/>
      <c r="H234" s="67"/>
      <c r="I234" s="186" t="s">
        <v>145</v>
      </c>
      <c r="J234" s="240">
        <v>3080</v>
      </c>
    </row>
    <row r="235" spans="1:10" ht="24.75" thickBot="1">
      <c r="A235" s="271"/>
      <c r="B235" s="200"/>
      <c r="C235" s="201"/>
      <c r="D235" s="201"/>
      <c r="E235" s="99"/>
      <c r="F235" s="227"/>
      <c r="G235" s="98"/>
      <c r="H235" s="99"/>
      <c r="I235" s="186" t="s">
        <v>146</v>
      </c>
      <c r="J235" s="102">
        <v>142</v>
      </c>
    </row>
    <row r="236" spans="1:10" ht="13.5" thickBot="1">
      <c r="A236" s="272" t="s">
        <v>19</v>
      </c>
      <c r="B236" s="57">
        <f>17.31*1846.70131</f>
        <v>31966.399676099998</v>
      </c>
      <c r="C236" s="33">
        <f>E236-B236</f>
        <v>7387.670323900002</v>
      </c>
      <c r="D236" s="75"/>
      <c r="E236" s="117">
        <v>39354.07</v>
      </c>
      <c r="F236" s="55">
        <f>B236*1</f>
        <v>31966.399676099998</v>
      </c>
      <c r="G236" s="30">
        <f>(1.815+4.72+0.23+4.63)*1846.7</f>
        <v>21043.1465</v>
      </c>
      <c r="H236" s="33">
        <f>F236-G236+C236</f>
        <v>18310.9235</v>
      </c>
      <c r="I236" s="178" t="s">
        <v>32</v>
      </c>
      <c r="J236" s="176">
        <f>3.77*1846.7</f>
        <v>6962.059</v>
      </c>
    </row>
    <row r="237" spans="1:10" ht="13.5" customHeight="1">
      <c r="A237" s="273"/>
      <c r="B237" s="39"/>
      <c r="C237" s="40"/>
      <c r="D237" s="49"/>
      <c r="E237" s="41"/>
      <c r="F237" s="42"/>
      <c r="G237" s="43"/>
      <c r="H237" s="41"/>
      <c r="I237" s="186" t="s">
        <v>149</v>
      </c>
      <c r="J237" s="102">
        <v>300</v>
      </c>
    </row>
    <row r="238" spans="1:10" ht="12.75">
      <c r="A238" s="273"/>
      <c r="B238" s="39"/>
      <c r="C238" s="40"/>
      <c r="D238" s="49"/>
      <c r="E238" s="41"/>
      <c r="F238" s="42"/>
      <c r="G238" s="43"/>
      <c r="H238" s="41"/>
      <c r="I238" s="16" t="s">
        <v>148</v>
      </c>
      <c r="J238" s="102">
        <v>499</v>
      </c>
    </row>
    <row r="239" spans="1:10" ht="12.75">
      <c r="A239" s="273"/>
      <c r="B239" s="39"/>
      <c r="C239" s="40"/>
      <c r="D239" s="49"/>
      <c r="E239" s="41"/>
      <c r="F239" s="42"/>
      <c r="G239" s="43"/>
      <c r="H239" s="41"/>
      <c r="I239" s="24" t="s">
        <v>147</v>
      </c>
      <c r="J239" s="93">
        <v>1123</v>
      </c>
    </row>
    <row r="240" spans="1:10" ht="13.5" thickBot="1">
      <c r="A240" s="274"/>
      <c r="B240" s="44"/>
      <c r="C240" s="45"/>
      <c r="D240" s="45"/>
      <c r="E240" s="46"/>
      <c r="F240" s="44"/>
      <c r="G240" s="45"/>
      <c r="H240" s="46"/>
      <c r="I240" s="242" t="s">
        <v>151</v>
      </c>
      <c r="J240" s="241">
        <v>7625.66</v>
      </c>
    </row>
    <row r="241" spans="1:10" ht="13.5" thickBot="1">
      <c r="A241" s="19" t="s">
        <v>20</v>
      </c>
      <c r="B241" s="233">
        <f>SUM(B192:B236)+0.01</f>
        <v>383596.80472839996</v>
      </c>
      <c r="C241" s="234">
        <f>SUM(C192:C236)</f>
        <v>1445.3052716000348</v>
      </c>
      <c r="D241" s="234"/>
      <c r="E241" s="235">
        <f>SUM(E192:E240)</f>
        <v>385042.10000000003</v>
      </c>
      <c r="F241" s="236">
        <f>SUM(F192:F236)+0.01</f>
        <v>383596.80472839996</v>
      </c>
      <c r="G241" s="236">
        <f>SUM(G192:G236)</f>
        <v>252517.758</v>
      </c>
      <c r="H241" s="237">
        <f>SUM(H192:H236)</f>
        <v>132524.342</v>
      </c>
      <c r="I241" s="203"/>
      <c r="J241" s="204"/>
    </row>
    <row r="242" spans="1:10" ht="13.5" thickBot="1">
      <c r="A242" s="205"/>
      <c r="B242" s="229"/>
      <c r="C242" s="230"/>
      <c r="D242" s="230"/>
      <c r="E242" s="231"/>
      <c r="F242" s="232"/>
      <c r="G242" s="232"/>
      <c r="H242" s="232"/>
      <c r="I242" s="12" t="s">
        <v>21</v>
      </c>
      <c r="J242" s="25">
        <f>SUM(J192:J240)</f>
        <v>140732.63799999998</v>
      </c>
    </row>
    <row r="243" spans="1:10" ht="13.5" thickBot="1">
      <c r="A243" s="206"/>
      <c r="B243" s="207"/>
      <c r="C243" s="208"/>
      <c r="D243" s="208"/>
      <c r="E243" s="209"/>
      <c r="F243" s="294"/>
      <c r="G243" s="295"/>
      <c r="H243" s="295"/>
      <c r="I243" s="296"/>
      <c r="J243" s="210"/>
    </row>
    <row r="244" spans="1:10" ht="13.5" thickBot="1">
      <c r="A244" s="211"/>
      <c r="B244" s="211"/>
      <c r="C244" s="211"/>
      <c r="D244" s="211"/>
      <c r="E244" s="211"/>
      <c r="F244" s="211"/>
      <c r="G244" s="211"/>
      <c r="H244" s="211"/>
      <c r="I244" s="8" t="s">
        <v>118</v>
      </c>
      <c r="J244" s="27">
        <f>H241+J191-J242</f>
        <v>-447909.10040000017</v>
      </c>
    </row>
    <row r="245" spans="1:10" ht="12.7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</row>
    <row r="246" spans="1:10" ht="12.7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</row>
    <row r="247" ht="12.75">
      <c r="A247" t="s">
        <v>122</v>
      </c>
    </row>
    <row r="261" spans="1:10" ht="16.5" customHeight="1">
      <c r="A261" s="284" t="s">
        <v>152</v>
      </c>
      <c r="B261" s="284"/>
      <c r="C261" s="284"/>
      <c r="D261" s="284"/>
      <c r="E261" s="284"/>
      <c r="F261" s="284"/>
      <c r="G261" s="284"/>
      <c r="H261" s="284"/>
      <c r="I261" s="284"/>
      <c r="J261" s="284"/>
    </row>
    <row r="262" spans="1:10" ht="17.25" customHeight="1" thickBot="1">
      <c r="A262" s="285" t="s">
        <v>25</v>
      </c>
      <c r="B262" s="285"/>
      <c r="C262" s="285"/>
      <c r="D262" s="285"/>
      <c r="E262" s="285"/>
      <c r="F262" s="285"/>
      <c r="G262" s="285"/>
      <c r="H262" s="285"/>
      <c r="I262" s="285"/>
      <c r="J262" s="285"/>
    </row>
    <row r="263" spans="1:10" ht="18.75" customHeight="1" thickBot="1">
      <c r="A263" s="286"/>
      <c r="B263" s="289" t="s">
        <v>22</v>
      </c>
      <c r="C263" s="290"/>
      <c r="D263" s="290"/>
      <c r="E263" s="291"/>
      <c r="F263" s="289" t="s">
        <v>26</v>
      </c>
      <c r="G263" s="290"/>
      <c r="H263" s="290"/>
      <c r="I263" s="290"/>
      <c r="J263" s="291"/>
    </row>
    <row r="264" spans="1:10" ht="18" customHeight="1" thickBot="1">
      <c r="A264" s="287"/>
      <c r="B264" s="272" t="s">
        <v>0</v>
      </c>
      <c r="C264" s="292" t="s">
        <v>34</v>
      </c>
      <c r="D264" s="272" t="s">
        <v>27</v>
      </c>
      <c r="E264" s="272" t="s">
        <v>1</v>
      </c>
      <c r="F264" s="272" t="s">
        <v>2</v>
      </c>
      <c r="G264" s="272" t="s">
        <v>3</v>
      </c>
      <c r="H264" s="272" t="s">
        <v>4</v>
      </c>
      <c r="I264" s="279" t="s">
        <v>5</v>
      </c>
      <c r="J264" s="280"/>
    </row>
    <row r="265" spans="1:10" ht="36.75" customHeight="1" thickBot="1">
      <c r="A265" s="288"/>
      <c r="B265" s="274"/>
      <c r="C265" s="293"/>
      <c r="D265" s="274"/>
      <c r="E265" s="274"/>
      <c r="F265" s="273"/>
      <c r="G265" s="273"/>
      <c r="H265" s="273"/>
      <c r="I265" s="191" t="s">
        <v>6</v>
      </c>
      <c r="J265" s="192" t="s">
        <v>7</v>
      </c>
    </row>
    <row r="266" spans="1:10" ht="17.25" customHeight="1" thickBot="1">
      <c r="A266" s="212" t="s">
        <v>153</v>
      </c>
      <c r="B266" s="281"/>
      <c r="C266" s="282"/>
      <c r="D266" s="282"/>
      <c r="E266" s="283"/>
      <c r="F266" s="213"/>
      <c r="G266" s="214"/>
      <c r="H266" s="215"/>
      <c r="I266" s="216" t="s">
        <v>154</v>
      </c>
      <c r="J266" s="217">
        <f>J244</f>
        <v>-447909.10040000017</v>
      </c>
    </row>
    <row r="267" spans="1:10" ht="18" customHeight="1" thickBot="1">
      <c r="A267" s="272" t="s">
        <v>8</v>
      </c>
      <c r="B267" s="57">
        <f>17.31*1846.7013</f>
        <v>31966.399502999997</v>
      </c>
      <c r="C267" s="33">
        <f>E267-B267</f>
        <v>-4352.1295029999965</v>
      </c>
      <c r="D267" s="32"/>
      <c r="E267" s="33">
        <v>27614.27</v>
      </c>
      <c r="F267" s="55">
        <f>B267*1</f>
        <v>31966.399502999997</v>
      </c>
      <c r="G267" s="30">
        <f>(1.815+4.72+0.23+4.63)*1846.7</f>
        <v>21043.1465</v>
      </c>
      <c r="H267" s="33">
        <f>F267-G267+C267</f>
        <v>6571.1235000000015</v>
      </c>
      <c r="I267" s="186" t="s">
        <v>32</v>
      </c>
      <c r="J267" s="176">
        <f>3.77*1846.7</f>
        <v>6962.059</v>
      </c>
    </row>
    <row r="268" spans="1:10" ht="24" customHeight="1">
      <c r="A268" s="273"/>
      <c r="B268" s="65"/>
      <c r="C268" s="66"/>
      <c r="D268" s="66"/>
      <c r="E268" s="67"/>
      <c r="F268" s="68"/>
      <c r="G268" s="120"/>
      <c r="H268" s="134"/>
      <c r="I268" s="181" t="s">
        <v>156</v>
      </c>
      <c r="J268" s="240">
        <v>3762</v>
      </c>
    </row>
    <row r="269" spans="1:10" ht="15" customHeight="1" thickBot="1">
      <c r="A269" s="274"/>
      <c r="B269" s="132"/>
      <c r="C269" s="130"/>
      <c r="D269" s="130"/>
      <c r="E269" s="134"/>
      <c r="F269" s="133"/>
      <c r="G269" s="120"/>
      <c r="H269" s="134"/>
      <c r="I269" s="258" t="s">
        <v>157</v>
      </c>
      <c r="J269" s="102">
        <v>1650</v>
      </c>
    </row>
    <row r="270" spans="1:10" ht="18" customHeight="1" thickBot="1">
      <c r="A270" s="272" t="s">
        <v>9</v>
      </c>
      <c r="B270" s="57">
        <f>17.31*1846.7013</f>
        <v>31966.399502999997</v>
      </c>
      <c r="C270" s="33">
        <f>E270-B270</f>
        <v>365.39049700000396</v>
      </c>
      <c r="D270" s="32"/>
      <c r="E270" s="33">
        <v>32331.79</v>
      </c>
      <c r="F270" s="34">
        <f>B270*1</f>
        <v>31966.399502999997</v>
      </c>
      <c r="G270" s="30">
        <f>(1.815+4.72+0.23+4.63)*1846.7</f>
        <v>21043.1465</v>
      </c>
      <c r="H270" s="33">
        <f>F270-G270+C270</f>
        <v>11288.643500000002</v>
      </c>
      <c r="I270" s="178" t="s">
        <v>32</v>
      </c>
      <c r="J270" s="176">
        <f>3.77*1846.7</f>
        <v>6962.059</v>
      </c>
    </row>
    <row r="271" spans="1:10" ht="24" customHeight="1">
      <c r="A271" s="271"/>
      <c r="B271" s="157"/>
      <c r="C271" s="158"/>
      <c r="D271" s="158"/>
      <c r="E271" s="159"/>
      <c r="F271" s="160"/>
      <c r="G271" s="161"/>
      <c r="H271" s="159"/>
      <c r="I271" s="181" t="s">
        <v>158</v>
      </c>
      <c r="J271" s="102">
        <v>624</v>
      </c>
    </row>
    <row r="272" spans="1:10" ht="24" customHeight="1" thickBot="1">
      <c r="A272" s="271"/>
      <c r="B272" s="132"/>
      <c r="C272" s="130"/>
      <c r="D272" s="130"/>
      <c r="E272" s="134"/>
      <c r="F272" s="133"/>
      <c r="G272" s="120"/>
      <c r="H272" s="134"/>
      <c r="I272" s="22" t="s">
        <v>159</v>
      </c>
      <c r="J272" s="102">
        <v>850</v>
      </c>
    </row>
    <row r="273" spans="1:10" ht="15" customHeight="1" thickBot="1">
      <c r="A273" s="270" t="s">
        <v>10</v>
      </c>
      <c r="B273" s="81">
        <f>17.31*1846.7013</f>
        <v>31966.399502999997</v>
      </c>
      <c r="C273" s="83">
        <f>E273-B273</f>
        <v>-51.8295029999972</v>
      </c>
      <c r="D273" s="82"/>
      <c r="E273" s="83">
        <v>31914.57</v>
      </c>
      <c r="F273" s="56">
        <f>B273*1</f>
        <v>31966.399502999997</v>
      </c>
      <c r="G273" s="226">
        <f>(1.815+4.72+0.23+4.63)*1846.7</f>
        <v>21043.1465</v>
      </c>
      <c r="H273" s="83">
        <f>F273-G273+C273</f>
        <v>10871.4235</v>
      </c>
      <c r="I273" s="175" t="s">
        <v>32</v>
      </c>
      <c r="J273" s="176">
        <f>3.77*1846.7</f>
        <v>6962.059</v>
      </c>
    </row>
    <row r="274" spans="1:10" ht="23.25" customHeight="1">
      <c r="A274" s="271"/>
      <c r="B274" s="58"/>
      <c r="C274" s="59"/>
      <c r="D274" s="59"/>
      <c r="E274" s="60"/>
      <c r="F274" s="61"/>
      <c r="G274" s="62"/>
      <c r="H274" s="60"/>
      <c r="I274" s="180" t="s">
        <v>160</v>
      </c>
      <c r="J274" s="240">
        <v>175</v>
      </c>
    </row>
    <row r="275" spans="1:10" ht="15" customHeight="1">
      <c r="A275" s="271"/>
      <c r="B275" s="65"/>
      <c r="C275" s="66"/>
      <c r="D275" s="66"/>
      <c r="E275" s="67"/>
      <c r="F275" s="68"/>
      <c r="G275" s="120"/>
      <c r="H275" s="134"/>
      <c r="I275" s="175" t="s">
        <v>161</v>
      </c>
      <c r="J275" s="240">
        <v>450</v>
      </c>
    </row>
    <row r="276" spans="1:10" ht="61.5" customHeight="1">
      <c r="A276" s="271"/>
      <c r="B276" s="65"/>
      <c r="C276" s="66"/>
      <c r="D276" s="66"/>
      <c r="E276" s="67"/>
      <c r="F276" s="68"/>
      <c r="G276" s="120"/>
      <c r="H276" s="134"/>
      <c r="I276" s="259" t="s">
        <v>177</v>
      </c>
      <c r="J276" s="240">
        <v>3102.6</v>
      </c>
    </row>
    <row r="277" spans="1:10" ht="61.5" customHeight="1">
      <c r="A277" s="271"/>
      <c r="B277" s="65"/>
      <c r="C277" s="66"/>
      <c r="D277" s="66"/>
      <c r="E277" s="67"/>
      <c r="F277" s="68"/>
      <c r="G277" s="120"/>
      <c r="H277" s="134"/>
      <c r="I277" s="181" t="s">
        <v>167</v>
      </c>
      <c r="J277" s="240">
        <v>2953</v>
      </c>
    </row>
    <row r="278" spans="1:10" ht="26.25" customHeight="1" thickBot="1">
      <c r="A278" s="271"/>
      <c r="B278" s="132"/>
      <c r="C278" s="130"/>
      <c r="D278" s="130"/>
      <c r="E278" s="134"/>
      <c r="F278" s="133"/>
      <c r="G278" s="120"/>
      <c r="H278" s="134"/>
      <c r="I278" s="78" t="s">
        <v>162</v>
      </c>
      <c r="J278" s="102">
        <v>4533</v>
      </c>
    </row>
    <row r="279" spans="1:10" ht="13.5" customHeight="1" thickBot="1">
      <c r="A279" s="270" t="s">
        <v>11</v>
      </c>
      <c r="B279" s="57">
        <f>17.31*1846.7013</f>
        <v>31966.399502999997</v>
      </c>
      <c r="C279" s="33">
        <f>E279-B279</f>
        <v>4198.540497000005</v>
      </c>
      <c r="D279" s="32"/>
      <c r="E279" s="33">
        <v>36164.94</v>
      </c>
      <c r="F279" s="55">
        <f>B279*1</f>
        <v>31966.399502999997</v>
      </c>
      <c r="G279" s="30">
        <f>(1.815+4.72+0.23+4.63)*1846.7</f>
        <v>21043.1465</v>
      </c>
      <c r="H279" s="33">
        <f>F279-G279+C279</f>
        <v>15121.793500000003</v>
      </c>
      <c r="I279" s="178" t="s">
        <v>32</v>
      </c>
      <c r="J279" s="176">
        <f>3.77*1846.7</f>
        <v>6962.059</v>
      </c>
    </row>
    <row r="280" spans="1:10" ht="13.5" customHeight="1" thickBot="1">
      <c r="A280" s="271"/>
      <c r="B280" s="157"/>
      <c r="C280" s="158"/>
      <c r="D280" s="158"/>
      <c r="E280" s="159"/>
      <c r="F280" s="160"/>
      <c r="G280" s="161"/>
      <c r="H280" s="159"/>
      <c r="I280" s="238" t="s">
        <v>163</v>
      </c>
      <c r="J280" s="102">
        <v>340</v>
      </c>
    </row>
    <row r="281" spans="1:10" ht="13.5" customHeight="1" thickBot="1">
      <c r="A281" s="270" t="s">
        <v>12</v>
      </c>
      <c r="B281" s="57">
        <f>18.17*1846.7015</f>
        <v>33554.566255</v>
      </c>
      <c r="C281" s="33">
        <f>E281-B281</f>
        <v>-1371.6662549999965</v>
      </c>
      <c r="D281" s="32"/>
      <c r="E281" s="33">
        <v>32182.9</v>
      </c>
      <c r="F281" s="55">
        <f>B281*1</f>
        <v>33554.566255</v>
      </c>
      <c r="G281" s="30">
        <f>(1.815+4.72+0.23+4.63)*1846.7</f>
        <v>21043.1465</v>
      </c>
      <c r="H281" s="33">
        <f>F281-G281+C281</f>
        <v>11139.753500000003</v>
      </c>
      <c r="I281" s="178" t="s">
        <v>32</v>
      </c>
      <c r="J281" s="176">
        <f>3.77*1846.7</f>
        <v>6962.059</v>
      </c>
    </row>
    <row r="282" spans="1:10" ht="13.5" customHeight="1">
      <c r="A282" s="271"/>
      <c r="B282" s="157"/>
      <c r="C282" s="158"/>
      <c r="D282" s="158"/>
      <c r="E282" s="159"/>
      <c r="F282" s="160"/>
      <c r="G282" s="161"/>
      <c r="H282" s="159"/>
      <c r="I282" s="181" t="s">
        <v>164</v>
      </c>
      <c r="J282" s="102">
        <v>1500</v>
      </c>
    </row>
    <row r="283" spans="1:10" ht="13.5" customHeight="1" thickBot="1">
      <c r="A283" s="278"/>
      <c r="B283" s="165"/>
      <c r="C283" s="166"/>
      <c r="D283" s="166"/>
      <c r="E283" s="167"/>
      <c r="F283" s="168"/>
      <c r="G283" s="169"/>
      <c r="H283" s="167"/>
      <c r="I283" s="265" t="s">
        <v>165</v>
      </c>
      <c r="J283" s="266">
        <v>110</v>
      </c>
    </row>
    <row r="284" spans="1:10" ht="13.5" customHeight="1" thickBot="1">
      <c r="A284" s="269" t="s">
        <v>13</v>
      </c>
      <c r="B284" s="57">
        <f>18.17*1846.7015</f>
        <v>33554.566255</v>
      </c>
      <c r="C284" s="33">
        <f>E284-B284</f>
        <v>-1151.6262549999992</v>
      </c>
      <c r="D284" s="32"/>
      <c r="E284" s="33">
        <v>32402.94</v>
      </c>
      <c r="F284" s="55">
        <f>B284*1</f>
        <v>33554.566255</v>
      </c>
      <c r="G284" s="30">
        <f>(1.815+4.72+0.23+4.63)*1846.7</f>
        <v>21043.1465</v>
      </c>
      <c r="H284" s="33">
        <f>F284-G284+C284</f>
        <v>11359.7935</v>
      </c>
      <c r="I284" s="267" t="s">
        <v>32</v>
      </c>
      <c r="J284" s="268">
        <f>3.77*1846.7</f>
        <v>6962.059</v>
      </c>
    </row>
    <row r="285" spans="1:10" ht="60">
      <c r="A285" s="272" t="s">
        <v>13</v>
      </c>
      <c r="B285" s="157"/>
      <c r="C285" s="158"/>
      <c r="D285" s="158"/>
      <c r="E285" s="159"/>
      <c r="F285" s="160"/>
      <c r="G285" s="161"/>
      <c r="H285" s="159"/>
      <c r="I285" s="151" t="s">
        <v>166</v>
      </c>
      <c r="J285" s="105">
        <v>5097.5</v>
      </c>
    </row>
    <row r="286" spans="1:10" ht="48">
      <c r="A286" s="273"/>
      <c r="B286" s="132"/>
      <c r="C286" s="130"/>
      <c r="D286" s="130"/>
      <c r="E286" s="134"/>
      <c r="F286" s="133"/>
      <c r="G286" s="120"/>
      <c r="H286" s="134"/>
      <c r="I286" s="181" t="s">
        <v>178</v>
      </c>
      <c r="J286" s="80">
        <v>3047</v>
      </c>
    </row>
    <row r="287" spans="1:10" ht="13.5" thickBot="1">
      <c r="A287" s="274"/>
      <c r="B287" s="165"/>
      <c r="C287" s="166"/>
      <c r="D287" s="166"/>
      <c r="E287" s="167"/>
      <c r="F287" s="168"/>
      <c r="G287" s="169"/>
      <c r="H287" s="167"/>
      <c r="I287" s="222" t="s">
        <v>33</v>
      </c>
      <c r="J287" s="104">
        <v>2705</v>
      </c>
    </row>
    <row r="288" spans="1:10" ht="13.5" thickBot="1">
      <c r="A288" s="272" t="s">
        <v>14</v>
      </c>
      <c r="B288" s="57">
        <f>18.17*1846.7015</f>
        <v>33554.566255</v>
      </c>
      <c r="C288" s="194">
        <f>E288-B288</f>
        <v>2171.183745000002</v>
      </c>
      <c r="D288" s="195"/>
      <c r="E288" s="194">
        <v>35725.75</v>
      </c>
      <c r="F288" s="196">
        <f>B288*1</f>
        <v>33554.566255</v>
      </c>
      <c r="G288" s="30">
        <f>(1.815+4.72+0.23+4.63)*1846.7</f>
        <v>21043.1465</v>
      </c>
      <c r="H288" s="198">
        <f>F288-G288+C288</f>
        <v>14682.603500000001</v>
      </c>
      <c r="I288" s="178" t="s">
        <v>32</v>
      </c>
      <c r="J288" s="176">
        <f>3.77*1846.7</f>
        <v>6962.059</v>
      </c>
    </row>
    <row r="289" spans="1:10" ht="12.75">
      <c r="A289" s="271"/>
      <c r="B289" s="157"/>
      <c r="C289" s="158"/>
      <c r="D289" s="158"/>
      <c r="E289" s="159"/>
      <c r="F289" s="158"/>
      <c r="G289" s="161"/>
      <c r="H289" s="158"/>
      <c r="I289" s="24" t="s">
        <v>33</v>
      </c>
      <c r="J289" s="80">
        <v>2805</v>
      </c>
    </row>
    <row r="290" spans="1:10" ht="24">
      <c r="A290" s="271"/>
      <c r="B290" s="132"/>
      <c r="C290" s="130"/>
      <c r="D290" s="130"/>
      <c r="E290" s="134"/>
      <c r="F290" s="130"/>
      <c r="G290" s="120"/>
      <c r="H290" s="130"/>
      <c r="I290" s="181" t="s">
        <v>179</v>
      </c>
      <c r="J290" s="102">
        <v>900.25</v>
      </c>
    </row>
    <row r="291" spans="1:10" ht="13.5" thickBot="1">
      <c r="A291" s="271"/>
      <c r="B291" s="132"/>
      <c r="C291" s="130"/>
      <c r="D291" s="130"/>
      <c r="E291" s="134"/>
      <c r="F291" s="130"/>
      <c r="G291" s="120"/>
      <c r="H291" s="130"/>
      <c r="I291" s="180" t="s">
        <v>29</v>
      </c>
      <c r="J291" s="102">
        <v>4105</v>
      </c>
    </row>
    <row r="292" spans="1:10" ht="13.5" thickBot="1">
      <c r="A292" s="272" t="s">
        <v>15</v>
      </c>
      <c r="B292" s="57">
        <f>18.17*1846.7015</f>
        <v>33554.566255</v>
      </c>
      <c r="C292" s="33">
        <f>E292-B292</f>
        <v>-102.12625499999558</v>
      </c>
      <c r="D292" s="32"/>
      <c r="E292" s="117">
        <v>33452.44</v>
      </c>
      <c r="F292" s="55">
        <f>B292*1</f>
        <v>33554.566255</v>
      </c>
      <c r="G292" s="30">
        <f>(1.815+4.72+0.23+4.63)*1846.7</f>
        <v>21043.1465</v>
      </c>
      <c r="H292" s="33">
        <f>F292-G292+C292</f>
        <v>12409.293500000003</v>
      </c>
      <c r="I292" s="178" t="s">
        <v>32</v>
      </c>
      <c r="J292" s="176">
        <f>3.77*1846.7</f>
        <v>6962.059</v>
      </c>
    </row>
    <row r="293" spans="1:10" ht="24" customHeight="1" thickBot="1">
      <c r="A293" s="278"/>
      <c r="B293" s="165"/>
      <c r="C293" s="166"/>
      <c r="D293" s="166"/>
      <c r="E293" s="167"/>
      <c r="F293" s="168"/>
      <c r="G293" s="169"/>
      <c r="H293" s="167"/>
      <c r="I293" s="260" t="s">
        <v>168</v>
      </c>
      <c r="J293" s="102">
        <v>446</v>
      </c>
    </row>
    <row r="294" spans="1:10" ht="13.5" thickBot="1">
      <c r="A294" s="270" t="s">
        <v>16</v>
      </c>
      <c r="B294" s="57">
        <f>18.17*1846.7015</f>
        <v>33554.566255</v>
      </c>
      <c r="C294" s="33">
        <f>E294-B294</f>
        <v>-618.3962549999997</v>
      </c>
      <c r="D294" s="32"/>
      <c r="E294" s="118">
        <v>32936.17</v>
      </c>
      <c r="F294" s="55">
        <f>B294*1</f>
        <v>33554.566255</v>
      </c>
      <c r="G294" s="30">
        <f>(1.815+4.72+0.23+4.63)*1846.7</f>
        <v>21043.1465</v>
      </c>
      <c r="H294" s="33">
        <f>F294-G294+C294</f>
        <v>11893.0235</v>
      </c>
      <c r="I294" s="178" t="s">
        <v>32</v>
      </c>
      <c r="J294" s="176">
        <f>3.77*1846.7</f>
        <v>6962.059</v>
      </c>
    </row>
    <row r="295" spans="1:10" ht="14.25" customHeight="1">
      <c r="A295" s="271"/>
      <c r="B295" s="157"/>
      <c r="C295" s="158"/>
      <c r="D295" s="158"/>
      <c r="E295" s="159"/>
      <c r="F295" s="160"/>
      <c r="G295" s="161"/>
      <c r="H295" s="159"/>
      <c r="I295" s="181" t="s">
        <v>169</v>
      </c>
      <c r="J295" s="102">
        <v>435</v>
      </c>
    </row>
    <row r="296" spans="1:10" ht="24" customHeight="1">
      <c r="A296" s="271"/>
      <c r="B296" s="132"/>
      <c r="C296" s="130"/>
      <c r="D296" s="130"/>
      <c r="E296" s="134"/>
      <c r="F296" s="133"/>
      <c r="G296" s="120"/>
      <c r="H296" s="134"/>
      <c r="I296" s="261" t="s">
        <v>174</v>
      </c>
      <c r="J296" s="102">
        <v>252</v>
      </c>
    </row>
    <row r="297" spans="1:10" ht="24" customHeight="1" thickBot="1">
      <c r="A297" s="271"/>
      <c r="B297" s="132"/>
      <c r="C297" s="130"/>
      <c r="D297" s="130"/>
      <c r="E297" s="134"/>
      <c r="F297" s="133"/>
      <c r="G297" s="120"/>
      <c r="H297" s="134"/>
      <c r="I297" s="238" t="s">
        <v>170</v>
      </c>
      <c r="J297" s="102">
        <v>1500</v>
      </c>
    </row>
    <row r="298" spans="1:10" ht="13.5" thickBot="1">
      <c r="A298" s="270" t="s">
        <v>17</v>
      </c>
      <c r="B298" s="57">
        <f>18.17*1846.7015</f>
        <v>33554.566255</v>
      </c>
      <c r="C298" s="33">
        <f>E298-B298</f>
        <v>-945.8162549999979</v>
      </c>
      <c r="D298" s="218"/>
      <c r="E298" s="117">
        <v>32608.75</v>
      </c>
      <c r="F298" s="55">
        <f>B298*1</f>
        <v>33554.566255</v>
      </c>
      <c r="G298" s="30">
        <f>(1.815+4.72+0.23+4.63)*1846.7</f>
        <v>21043.1465</v>
      </c>
      <c r="H298" s="33">
        <f>F298-G298+C298</f>
        <v>11565.603500000001</v>
      </c>
      <c r="I298" s="175" t="s">
        <v>32</v>
      </c>
      <c r="J298" s="176">
        <f>3.77*1846.7</f>
        <v>6962.059</v>
      </c>
    </row>
    <row r="299" spans="1:10" ht="24">
      <c r="A299" s="271"/>
      <c r="B299" s="157"/>
      <c r="C299" s="158"/>
      <c r="D299" s="158"/>
      <c r="E299" s="159"/>
      <c r="F299" s="160"/>
      <c r="G299" s="161"/>
      <c r="H299" s="159"/>
      <c r="I299" s="180" t="s">
        <v>171</v>
      </c>
      <c r="J299" s="102">
        <v>700</v>
      </c>
    </row>
    <row r="300" spans="1:10" ht="24">
      <c r="A300" s="271"/>
      <c r="B300" s="132"/>
      <c r="C300" s="130"/>
      <c r="D300" s="130"/>
      <c r="E300" s="134"/>
      <c r="F300" s="133"/>
      <c r="G300" s="120"/>
      <c r="H300" s="134"/>
      <c r="I300" s="181" t="s">
        <v>172</v>
      </c>
      <c r="J300" s="102">
        <v>1500</v>
      </c>
    </row>
    <row r="301" spans="1:10" ht="24.75" thickBot="1">
      <c r="A301" s="271"/>
      <c r="B301" s="164"/>
      <c r="C301" s="130"/>
      <c r="D301" s="130"/>
      <c r="E301" s="134"/>
      <c r="F301" s="133"/>
      <c r="G301" s="120"/>
      <c r="H301" s="134"/>
      <c r="I301" s="181" t="s">
        <v>173</v>
      </c>
      <c r="J301" s="102">
        <v>1500</v>
      </c>
    </row>
    <row r="302" spans="1:10" ht="13.5" thickBot="1">
      <c r="A302" s="272" t="s">
        <v>18</v>
      </c>
      <c r="B302" s="57">
        <f>18.17*1846.7015</f>
        <v>33554.566255</v>
      </c>
      <c r="C302" s="33">
        <f>E302-B302</f>
        <v>1531.0437450000027</v>
      </c>
      <c r="D302" s="32"/>
      <c r="E302" s="117">
        <v>35085.61</v>
      </c>
      <c r="F302" s="55">
        <f>B302*1</f>
        <v>33554.566255</v>
      </c>
      <c r="G302" s="30">
        <f>(1.815+4.72+0.23+4.63)*1846.7</f>
        <v>21043.1465</v>
      </c>
      <c r="H302" s="33">
        <f>F302-G302+C302</f>
        <v>14042.463500000002</v>
      </c>
      <c r="I302" s="178" t="s">
        <v>32</v>
      </c>
      <c r="J302" s="176">
        <f>3.77*1846.7</f>
        <v>6962.059</v>
      </c>
    </row>
    <row r="303" spans="1:10" ht="6.75" customHeight="1" thickBot="1">
      <c r="A303" s="271"/>
      <c r="B303" s="165"/>
      <c r="C303" s="166"/>
      <c r="D303" s="166"/>
      <c r="E303" s="167"/>
      <c r="F303" s="168"/>
      <c r="G303" s="169"/>
      <c r="H303" s="167"/>
      <c r="I303" s="243" t="s">
        <v>24</v>
      </c>
      <c r="J303" s="244" t="s">
        <v>24</v>
      </c>
    </row>
    <row r="304" spans="1:10" ht="13.5" thickBot="1">
      <c r="A304" s="272" t="s">
        <v>19</v>
      </c>
      <c r="B304" s="57">
        <f>18.17*1846.7015</f>
        <v>33554.566255</v>
      </c>
      <c r="C304" s="33">
        <f>E304-B304</f>
        <v>-321.77625499999704</v>
      </c>
      <c r="D304" s="75"/>
      <c r="E304" s="117">
        <v>33232.79</v>
      </c>
      <c r="F304" s="55">
        <f>B304*1</f>
        <v>33554.566255</v>
      </c>
      <c r="G304" s="30">
        <f>(1.815+4.72+0.23+4.63)*1846.7</f>
        <v>21043.1465</v>
      </c>
      <c r="H304" s="33">
        <f>F304-G304+C304</f>
        <v>12189.643500000002</v>
      </c>
      <c r="I304" s="178" t="s">
        <v>32</v>
      </c>
      <c r="J304" s="176">
        <f>3.77*1846.7</f>
        <v>6962.059</v>
      </c>
    </row>
    <row r="305" spans="1:10" ht="24">
      <c r="A305" s="273"/>
      <c r="B305" s="132"/>
      <c r="C305" s="130"/>
      <c r="D305" s="131"/>
      <c r="E305" s="134"/>
      <c r="F305" s="133"/>
      <c r="G305" s="120"/>
      <c r="H305" s="134"/>
      <c r="I305" s="180" t="s">
        <v>175</v>
      </c>
      <c r="J305" s="102">
        <v>300</v>
      </c>
    </row>
    <row r="306" spans="1:10" ht="24">
      <c r="A306" s="273"/>
      <c r="B306" s="132"/>
      <c r="C306" s="130"/>
      <c r="D306" s="131"/>
      <c r="E306" s="134"/>
      <c r="F306" s="133"/>
      <c r="G306" s="120"/>
      <c r="H306" s="134"/>
      <c r="I306" s="16" t="s">
        <v>180</v>
      </c>
      <c r="J306" s="102">
        <v>3500</v>
      </c>
    </row>
    <row r="307" spans="1:10" ht="12.75">
      <c r="A307" s="273"/>
      <c r="B307" s="132"/>
      <c r="C307" s="130"/>
      <c r="D307" s="131"/>
      <c r="E307" s="134"/>
      <c r="F307" s="133"/>
      <c r="G307" s="120"/>
      <c r="H307" s="134"/>
      <c r="I307" s="181" t="s">
        <v>176</v>
      </c>
      <c r="J307" s="93">
        <v>2000</v>
      </c>
    </row>
    <row r="308" spans="1:10" ht="12.75">
      <c r="A308" s="273"/>
      <c r="B308" s="132"/>
      <c r="C308" s="130"/>
      <c r="D308" s="131"/>
      <c r="E308" s="134"/>
      <c r="F308" s="133"/>
      <c r="G308" s="120"/>
      <c r="H308" s="134"/>
      <c r="I308" s="16" t="s">
        <v>181</v>
      </c>
      <c r="J308" s="93">
        <v>150</v>
      </c>
    </row>
    <row r="309" spans="1:10" ht="12.75" customHeight="1" thickBot="1">
      <c r="A309" s="274"/>
      <c r="B309" s="113"/>
      <c r="C309" s="114"/>
      <c r="D309" s="114"/>
      <c r="E309" s="115"/>
      <c r="F309" s="113"/>
      <c r="G309" s="114"/>
      <c r="H309" s="115"/>
      <c r="I309" s="262" t="s">
        <v>151</v>
      </c>
      <c r="J309" s="241">
        <v>10088.87</v>
      </c>
    </row>
    <row r="310" spans="1:10" ht="13.5" thickBot="1">
      <c r="A310" s="19" t="s">
        <v>20</v>
      </c>
      <c r="B310" s="233">
        <f>SUM(B267:B304)+0.03</f>
        <v>396302.1580520001</v>
      </c>
      <c r="C310" s="234">
        <f>SUM(C267:C304)</f>
        <v>-649.2080519999654</v>
      </c>
      <c r="D310" s="245"/>
      <c r="E310" s="235">
        <f>SUM(E267:E309)</f>
        <v>395652.92</v>
      </c>
      <c r="F310" s="236">
        <f>SUM(F267:F304)+0.03</f>
        <v>396302.1580520001</v>
      </c>
      <c r="G310" s="236">
        <f>SUM(G267:G304)</f>
        <v>252517.758</v>
      </c>
      <c r="H310" s="237">
        <f>SUM(H267:H304)</f>
        <v>143135.162</v>
      </c>
      <c r="I310" s="246"/>
      <c r="J310" s="247"/>
    </row>
    <row r="311" spans="1:10" ht="13.5" thickBot="1">
      <c r="A311" s="248"/>
      <c r="B311" s="249"/>
      <c r="C311" s="250"/>
      <c r="D311" s="250"/>
      <c r="E311" s="251"/>
      <c r="F311" s="252"/>
      <c r="G311" s="252"/>
      <c r="H311" s="252"/>
      <c r="I311" s="12" t="s">
        <v>21</v>
      </c>
      <c r="J311" s="25">
        <f>SUM(J267:J309)</f>
        <v>144625.92799999996</v>
      </c>
    </row>
    <row r="312" spans="1:10" ht="13.5" thickBot="1">
      <c r="A312" s="253"/>
      <c r="B312" s="254"/>
      <c r="C312" s="255"/>
      <c r="D312" s="255"/>
      <c r="E312" s="256"/>
      <c r="F312" s="275"/>
      <c r="G312" s="276"/>
      <c r="H312" s="276"/>
      <c r="I312" s="277"/>
      <c r="J312" s="263"/>
    </row>
    <row r="313" spans="1:10" ht="13.5" thickBot="1">
      <c r="A313" s="257"/>
      <c r="B313" s="257"/>
      <c r="C313" s="257"/>
      <c r="D313" s="257"/>
      <c r="E313" s="257"/>
      <c r="F313" s="257"/>
      <c r="G313" s="257"/>
      <c r="H313" s="257"/>
      <c r="I313" s="8" t="s">
        <v>155</v>
      </c>
      <c r="J313" s="264">
        <f>H310+J266-J311</f>
        <v>-449399.8664000001</v>
      </c>
    </row>
    <row r="314" spans="1:10" ht="12.75">
      <c r="A314" s="257"/>
      <c r="B314" s="257"/>
      <c r="C314" s="257"/>
      <c r="D314" s="257"/>
      <c r="E314" s="257"/>
      <c r="F314" s="257"/>
      <c r="G314" s="257"/>
      <c r="H314" s="257"/>
      <c r="I314" s="257"/>
      <c r="J314" s="257"/>
    </row>
    <row r="315" spans="1:10" ht="12.75">
      <c r="A315" s="101" t="s">
        <v>122</v>
      </c>
      <c r="B315" s="257"/>
      <c r="C315" s="257"/>
      <c r="D315" s="257"/>
      <c r="E315" s="257"/>
      <c r="F315" s="257"/>
      <c r="G315" s="257"/>
      <c r="H315" s="257"/>
      <c r="I315" s="257"/>
      <c r="J315" s="257"/>
    </row>
  </sheetData>
  <sheetProtection/>
  <mergeCells count="110">
    <mergeCell ref="A173:A176"/>
    <mergeCell ref="A131:A137"/>
    <mergeCell ref="A138:A140"/>
    <mergeCell ref="A141:A143"/>
    <mergeCell ref="A144:A146"/>
    <mergeCell ref="A147:A157"/>
    <mergeCell ref="F179:I179"/>
    <mergeCell ref="A158:A164"/>
    <mergeCell ref="A165:A167"/>
    <mergeCell ref="A168:A170"/>
    <mergeCell ref="A171:A172"/>
    <mergeCell ref="G118:G119"/>
    <mergeCell ref="H118:H119"/>
    <mergeCell ref="I118:J118"/>
    <mergeCell ref="B120:E120"/>
    <mergeCell ref="A121:A127"/>
    <mergeCell ref="A128:A130"/>
    <mergeCell ref="A115:J115"/>
    <mergeCell ref="A116:J116"/>
    <mergeCell ref="A117:A119"/>
    <mergeCell ref="B117:E117"/>
    <mergeCell ref="F117:J117"/>
    <mergeCell ref="B118:B119"/>
    <mergeCell ref="C118:C119"/>
    <mergeCell ref="D118:D119"/>
    <mergeCell ref="E118:E119"/>
    <mergeCell ref="F118:F119"/>
    <mergeCell ref="A35:A39"/>
    <mergeCell ref="A40:A44"/>
    <mergeCell ref="A69:A73"/>
    <mergeCell ref="A74:A76"/>
    <mergeCell ref="A77:A88"/>
    <mergeCell ref="A45:A52"/>
    <mergeCell ref="A53:A61"/>
    <mergeCell ref="A62:A68"/>
    <mergeCell ref="F91:I91"/>
    <mergeCell ref="A15:A18"/>
    <mergeCell ref="A19:A26"/>
    <mergeCell ref="A27:A29"/>
    <mergeCell ref="A30:A34"/>
    <mergeCell ref="G4:G5"/>
    <mergeCell ref="B4:B5"/>
    <mergeCell ref="C4:C5"/>
    <mergeCell ref="D4:D5"/>
    <mergeCell ref="E4:E5"/>
    <mergeCell ref="F4:F5"/>
    <mergeCell ref="H4:H5"/>
    <mergeCell ref="I4:J4"/>
    <mergeCell ref="B6:E6"/>
    <mergeCell ref="A7:A11"/>
    <mergeCell ref="A12:A14"/>
    <mergeCell ref="A1:J1"/>
    <mergeCell ref="A2:J2"/>
    <mergeCell ref="A3:A5"/>
    <mergeCell ref="B3:E3"/>
    <mergeCell ref="F3:J3"/>
    <mergeCell ref="A186:J186"/>
    <mergeCell ref="A187:J187"/>
    <mergeCell ref="A188:A190"/>
    <mergeCell ref="B188:E188"/>
    <mergeCell ref="F188:J188"/>
    <mergeCell ref="B189:B190"/>
    <mergeCell ref="C189:C190"/>
    <mergeCell ref="D189:D190"/>
    <mergeCell ref="E189:E190"/>
    <mergeCell ref="F189:F190"/>
    <mergeCell ref="A222:A223"/>
    <mergeCell ref="G189:G190"/>
    <mergeCell ref="H189:H190"/>
    <mergeCell ref="I189:J189"/>
    <mergeCell ref="B191:E191"/>
    <mergeCell ref="A192:A193"/>
    <mergeCell ref="A194:A198"/>
    <mergeCell ref="A224:A226"/>
    <mergeCell ref="A227:A230"/>
    <mergeCell ref="A231:A235"/>
    <mergeCell ref="A236:A240"/>
    <mergeCell ref="F243:I243"/>
    <mergeCell ref="A199:A200"/>
    <mergeCell ref="A201:A207"/>
    <mergeCell ref="A208:A212"/>
    <mergeCell ref="A213:A217"/>
    <mergeCell ref="A218:A221"/>
    <mergeCell ref="A285:A287"/>
    <mergeCell ref="A261:J261"/>
    <mergeCell ref="A262:J262"/>
    <mergeCell ref="A263:A265"/>
    <mergeCell ref="B263:E263"/>
    <mergeCell ref="F263:J263"/>
    <mergeCell ref="B264:B265"/>
    <mergeCell ref="C264:C265"/>
    <mergeCell ref="D264:D265"/>
    <mergeCell ref="E264:E265"/>
    <mergeCell ref="G264:G265"/>
    <mergeCell ref="H264:H265"/>
    <mergeCell ref="I264:J264"/>
    <mergeCell ref="B266:E266"/>
    <mergeCell ref="A267:A269"/>
    <mergeCell ref="A270:A272"/>
    <mergeCell ref="F264:F265"/>
    <mergeCell ref="A294:A297"/>
    <mergeCell ref="A298:A301"/>
    <mergeCell ref="A302:A303"/>
    <mergeCell ref="A304:A309"/>
    <mergeCell ref="F312:I312"/>
    <mergeCell ref="A273:A278"/>
    <mergeCell ref="A279:A280"/>
    <mergeCell ref="A281:A283"/>
    <mergeCell ref="A288:A291"/>
    <mergeCell ref="A292:A293"/>
  </mergeCells>
  <printOptions/>
  <pageMargins left="0.17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2022-03-22T03:31:37Z</cp:lastPrinted>
  <dcterms:created xsi:type="dcterms:W3CDTF">2010-06-22T06:42:29Z</dcterms:created>
  <dcterms:modified xsi:type="dcterms:W3CDTF">2022-04-11T07:47:31Z</dcterms:modified>
  <cp:category/>
  <cp:version/>
  <cp:contentType/>
  <cp:contentStatus/>
</cp:coreProperties>
</file>